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tables/table4.xml" ContentType="application/vnd.openxmlformats-officedocument.spreadsheetml.tab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tables/table5.xml" ContentType="application/vnd.openxmlformats-officedocument.spreadsheetml.tabl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tables/table6.xml" ContentType="application/vnd.openxmlformats-officedocument.spreadsheetml.table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tables/table7.xml" ContentType="application/vnd.openxmlformats-officedocument.spreadsheetml.table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tables/table8.xml" ContentType="application/vnd.openxmlformats-officedocument.spreadsheetml.table+xml"/>
  <Override PartName="/xl/charts/chart1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tables/table9.xml" ContentType="application/vnd.openxmlformats-officedocument.spreadsheetml.table+xml"/>
  <Override PartName="/xl/charts/chart19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tables/table10.xml" ContentType="application/vnd.openxmlformats-officedocument.spreadsheetml.table+xml"/>
  <Override PartName="/xl/charts/chart2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tables/table11.xml" ContentType="application/vnd.openxmlformats-officedocument.spreadsheetml.table+xml"/>
  <Override PartName="/xl/charts/chart2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tables/table12.xml" ContentType="application/vnd.openxmlformats-officedocument.spreadsheetml.table+xml"/>
  <Override PartName="/xl/charts/chart2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tables/table13.xml" ContentType="application/vnd.openxmlformats-officedocument.spreadsheetml.table+xml"/>
  <Override PartName="/xl/charts/chart2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tables/table14.xml" ContentType="application/vnd.openxmlformats-officedocument.spreadsheetml.table+xml"/>
  <Override PartName="/xl/charts/chart2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3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achkammeraad/Documents/NEXUS/Budgeting/"/>
    </mc:Choice>
  </mc:AlternateContent>
  <xr:revisionPtr revIDLastSave="0" documentId="13_ncr:1_{1D43FE91-CEC2-E948-ADBC-31F6ABC1788D}" xr6:coauthVersionLast="45" xr6:coauthVersionMax="45" xr10:uidLastSave="{00000000-0000-0000-0000-000000000000}"/>
  <bookViews>
    <workbookView xWindow="0" yWindow="0" windowWidth="33600" windowHeight="21000" activeTab="4" xr2:uid="{FA679F7B-2592-4E3C-B01B-65E7C58F56DE}"/>
  </bookViews>
  <sheets>
    <sheet name="Info" sheetId="3" r:id="rId1"/>
    <sheet name="Overview" sheetId="5" r:id="rId2"/>
    <sheet name="Savings Goal" sheetId="19" r:id="rId3"/>
    <sheet name="Sample Month" sheetId="18" r:id="rId4"/>
    <sheet name="Month 1" sheetId="20" r:id="rId5"/>
    <sheet name="Month 2" sheetId="22" r:id="rId6"/>
    <sheet name="Month 3" sheetId="23" r:id="rId7"/>
    <sheet name="Month 4" sheetId="24" r:id="rId8"/>
    <sheet name="Month 5" sheetId="25" r:id="rId9"/>
    <sheet name="Month 6" sheetId="26" r:id="rId10"/>
    <sheet name="Month 7" sheetId="27" r:id="rId11"/>
    <sheet name="Month 8" sheetId="28" r:id="rId12"/>
    <sheet name="Month 9" sheetId="29" r:id="rId13"/>
    <sheet name="Month 10" sheetId="30" r:id="rId14"/>
    <sheet name="Month 11" sheetId="31" r:id="rId15"/>
    <sheet name="Month 12" sheetId="32" r:id="rId16"/>
    <sheet name="Master" sheetId="21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8" i="21" l="1"/>
  <c r="B87" i="21"/>
  <c r="B86" i="21"/>
  <c r="B85" i="21"/>
  <c r="B84" i="21"/>
  <c r="B88" i="32"/>
  <c r="B87" i="32"/>
  <c r="B86" i="32"/>
  <c r="B85" i="32"/>
  <c r="B84" i="32"/>
  <c r="B88" i="31"/>
  <c r="B87" i="31"/>
  <c r="B86" i="31"/>
  <c r="B85" i="31"/>
  <c r="B84" i="31"/>
  <c r="B88" i="30"/>
  <c r="B87" i="30"/>
  <c r="B86" i="30"/>
  <c r="B85" i="30"/>
  <c r="B84" i="30"/>
  <c r="B88" i="29"/>
  <c r="B87" i="29"/>
  <c r="B86" i="29"/>
  <c r="B85" i="29"/>
  <c r="B84" i="29"/>
  <c r="B88" i="28"/>
  <c r="B87" i="28"/>
  <c r="B86" i="28"/>
  <c r="B85" i="28"/>
  <c r="B84" i="28"/>
  <c r="B88" i="27"/>
  <c r="B87" i="27"/>
  <c r="B86" i="27"/>
  <c r="B85" i="27"/>
  <c r="B84" i="27"/>
  <c r="B88" i="26"/>
  <c r="B87" i="26"/>
  <c r="B86" i="26"/>
  <c r="B85" i="26"/>
  <c r="B84" i="26"/>
  <c r="B88" i="25"/>
  <c r="B87" i="25"/>
  <c r="B86" i="25"/>
  <c r="B85" i="25"/>
  <c r="B84" i="25"/>
  <c r="B88" i="24"/>
  <c r="B87" i="24"/>
  <c r="B86" i="24"/>
  <c r="B85" i="24"/>
  <c r="B84" i="24"/>
  <c r="B88" i="23"/>
  <c r="B87" i="23"/>
  <c r="B86" i="23"/>
  <c r="B85" i="23"/>
  <c r="B84" i="23"/>
  <c r="B88" i="22"/>
  <c r="B87" i="22"/>
  <c r="B86" i="22"/>
  <c r="B85" i="22"/>
  <c r="B84" i="22"/>
  <c r="B88" i="20"/>
  <c r="B87" i="20"/>
  <c r="B86" i="20"/>
  <c r="B85" i="20"/>
  <c r="B84" i="20"/>
  <c r="B88" i="18"/>
  <c r="B87" i="18"/>
  <c r="B86" i="18"/>
  <c r="B85" i="18"/>
  <c r="B84" i="18"/>
  <c r="E79" i="32" l="1"/>
  <c r="E78" i="32"/>
  <c r="E77" i="32"/>
  <c r="F76" i="32"/>
  <c r="E73" i="32"/>
  <c r="E72" i="32"/>
  <c r="D71" i="32" s="1"/>
  <c r="F71" i="32"/>
  <c r="E68" i="32"/>
  <c r="E67" i="32"/>
  <c r="E66" i="32"/>
  <c r="D65" i="32" s="1"/>
  <c r="F65" i="32"/>
  <c r="F81" i="32" s="1"/>
  <c r="D60" i="32"/>
  <c r="E59" i="32"/>
  <c r="E58" i="32"/>
  <c r="K57" i="32"/>
  <c r="E57" i="32"/>
  <c r="E56" i="32"/>
  <c r="F55" i="32"/>
  <c r="E54" i="32"/>
  <c r="E53" i="32"/>
  <c r="F52" i="32"/>
  <c r="E48" i="32"/>
  <c r="E47" i="32"/>
  <c r="D46" i="32" s="1"/>
  <c r="F46" i="32"/>
  <c r="E45" i="32"/>
  <c r="E44" i="32"/>
  <c r="E43" i="32"/>
  <c r="E42" i="32"/>
  <c r="E41" i="32"/>
  <c r="D40" i="32" s="1"/>
  <c r="F40" i="32"/>
  <c r="E39" i="32"/>
  <c r="E38" i="32"/>
  <c r="E37" i="32"/>
  <c r="E36" i="32"/>
  <c r="E35" i="32"/>
  <c r="F34" i="32"/>
  <c r="E33" i="32"/>
  <c r="D31" i="32" s="1"/>
  <c r="E32" i="32"/>
  <c r="F31" i="32"/>
  <c r="F27" i="32"/>
  <c r="F7" i="32" s="1"/>
  <c r="N16" i="5" s="1"/>
  <c r="D13" i="32"/>
  <c r="D12" i="32"/>
  <c r="D11" i="32"/>
  <c r="D10" i="32"/>
  <c r="C10" i="32"/>
  <c r="D9" i="32"/>
  <c r="C9" i="32"/>
  <c r="D8" i="32"/>
  <c r="C8" i="32"/>
  <c r="C11" i="32" s="1"/>
  <c r="D7" i="32"/>
  <c r="E79" i="31"/>
  <c r="E78" i="31"/>
  <c r="D76" i="31" s="1"/>
  <c r="E77" i="31"/>
  <c r="F76" i="31"/>
  <c r="E73" i="31"/>
  <c r="E72" i="31"/>
  <c r="F71" i="31"/>
  <c r="D71" i="31"/>
  <c r="E68" i="31"/>
  <c r="E67" i="31"/>
  <c r="E66" i="31"/>
  <c r="F65" i="31"/>
  <c r="D60" i="31"/>
  <c r="E59" i="31"/>
  <c r="E58" i="31"/>
  <c r="K57" i="31"/>
  <c r="E57" i="31"/>
  <c r="E56" i="31"/>
  <c r="D55" i="31" s="1"/>
  <c r="F55" i="31"/>
  <c r="E54" i="31"/>
  <c r="E53" i="31"/>
  <c r="D52" i="31" s="1"/>
  <c r="F52" i="31"/>
  <c r="E48" i="31"/>
  <c r="E47" i="31"/>
  <c r="D46" i="31" s="1"/>
  <c r="F46" i="31"/>
  <c r="E45" i="31"/>
  <c r="E44" i="31"/>
  <c r="E43" i="31"/>
  <c r="E42" i="31"/>
  <c r="E41" i="31"/>
  <c r="F40" i="31"/>
  <c r="E39" i="31"/>
  <c r="E38" i="31"/>
  <c r="E37" i="31"/>
  <c r="D34" i="31" s="1"/>
  <c r="E36" i="31"/>
  <c r="E35" i="31"/>
  <c r="F34" i="31"/>
  <c r="E33" i="31"/>
  <c r="E32" i="31"/>
  <c r="D31" i="31" s="1"/>
  <c r="F31" i="31"/>
  <c r="F27" i="31"/>
  <c r="F7" i="31" s="1"/>
  <c r="M16" i="5" s="1"/>
  <c r="D13" i="31"/>
  <c r="D12" i="31"/>
  <c r="D11" i="31"/>
  <c r="D10" i="31"/>
  <c r="C10" i="31"/>
  <c r="D9" i="31"/>
  <c r="C9" i="31"/>
  <c r="D8" i="31"/>
  <c r="C8" i="31"/>
  <c r="D7" i="31"/>
  <c r="E79" i="30"/>
  <c r="E78" i="30"/>
  <c r="E77" i="30"/>
  <c r="F76" i="30"/>
  <c r="E73" i="30"/>
  <c r="E72" i="30"/>
  <c r="D71" i="30" s="1"/>
  <c r="F71" i="30"/>
  <c r="E68" i="30"/>
  <c r="E67" i="30"/>
  <c r="E66" i="30"/>
  <c r="D65" i="30" s="1"/>
  <c r="F65" i="30"/>
  <c r="F81" i="30" s="1"/>
  <c r="D60" i="30"/>
  <c r="E59" i="30"/>
  <c r="E58" i="30"/>
  <c r="K57" i="30"/>
  <c r="E57" i="30"/>
  <c r="E56" i="30"/>
  <c r="F55" i="30"/>
  <c r="E54" i="30"/>
  <c r="E53" i="30"/>
  <c r="D52" i="30" s="1"/>
  <c r="F52" i="30"/>
  <c r="E48" i="30"/>
  <c r="E47" i="30"/>
  <c r="D46" i="30" s="1"/>
  <c r="F46" i="30"/>
  <c r="E45" i="30"/>
  <c r="E44" i="30"/>
  <c r="E43" i="30"/>
  <c r="E42" i="30"/>
  <c r="E41" i="30"/>
  <c r="D40" i="30" s="1"/>
  <c r="F40" i="30"/>
  <c r="E39" i="30"/>
  <c r="E38" i="30"/>
  <c r="E37" i="30"/>
  <c r="E36" i="30"/>
  <c r="E35" i="30"/>
  <c r="F34" i="30"/>
  <c r="E33" i="30"/>
  <c r="D31" i="30" s="1"/>
  <c r="E32" i="30"/>
  <c r="F31" i="30"/>
  <c r="F27" i="30"/>
  <c r="F7" i="30" s="1"/>
  <c r="L16" i="5" s="1"/>
  <c r="D13" i="30"/>
  <c r="D12" i="30"/>
  <c r="D11" i="30"/>
  <c r="D10" i="30"/>
  <c r="C10" i="30"/>
  <c r="D9" i="30"/>
  <c r="C9" i="30"/>
  <c r="D8" i="30"/>
  <c r="C8" i="30"/>
  <c r="C11" i="30" s="1"/>
  <c r="D7" i="30"/>
  <c r="E79" i="29"/>
  <c r="E78" i="29"/>
  <c r="D76" i="29" s="1"/>
  <c r="E77" i="29"/>
  <c r="F76" i="29"/>
  <c r="E73" i="29"/>
  <c r="E72" i="29"/>
  <c r="F71" i="29"/>
  <c r="D71" i="29"/>
  <c r="E68" i="29"/>
  <c r="E67" i="29"/>
  <c r="E66" i="29"/>
  <c r="F65" i="29"/>
  <c r="D60" i="29"/>
  <c r="E59" i="29"/>
  <c r="E58" i="29"/>
  <c r="K57" i="29"/>
  <c r="E57" i="29"/>
  <c r="E56" i="29"/>
  <c r="D55" i="29" s="1"/>
  <c r="F55" i="29"/>
  <c r="E54" i="29"/>
  <c r="E53" i="29"/>
  <c r="D52" i="29" s="1"/>
  <c r="F52" i="29"/>
  <c r="E48" i="29"/>
  <c r="E47" i="29"/>
  <c r="D46" i="29" s="1"/>
  <c r="F46" i="29"/>
  <c r="E45" i="29"/>
  <c r="E44" i="29"/>
  <c r="E43" i="29"/>
  <c r="E42" i="29"/>
  <c r="E41" i="29"/>
  <c r="F40" i="29"/>
  <c r="E39" i="29"/>
  <c r="E38" i="29"/>
  <c r="E37" i="29"/>
  <c r="D34" i="29" s="1"/>
  <c r="E36" i="29"/>
  <c r="E35" i="29"/>
  <c r="F34" i="29"/>
  <c r="E33" i="29"/>
  <c r="E32" i="29"/>
  <c r="F31" i="29"/>
  <c r="D31" i="29"/>
  <c r="F27" i="29"/>
  <c r="F7" i="29" s="1"/>
  <c r="K16" i="5" s="1"/>
  <c r="D13" i="29"/>
  <c r="D12" i="29"/>
  <c r="D11" i="29"/>
  <c r="D10" i="29"/>
  <c r="C10" i="29"/>
  <c r="D9" i="29"/>
  <c r="C9" i="29"/>
  <c r="D8" i="29"/>
  <c r="C8" i="29"/>
  <c r="D7" i="29"/>
  <c r="E79" i="28"/>
  <c r="E78" i="28"/>
  <c r="E77" i="28"/>
  <c r="F76" i="28"/>
  <c r="E73" i="28"/>
  <c r="E72" i="28"/>
  <c r="D71" i="28" s="1"/>
  <c r="F71" i="28"/>
  <c r="E68" i="28"/>
  <c r="E67" i="28"/>
  <c r="E66" i="28"/>
  <c r="D65" i="28" s="1"/>
  <c r="F65" i="28"/>
  <c r="F81" i="28" s="1"/>
  <c r="D60" i="28"/>
  <c r="E59" i="28"/>
  <c r="E58" i="28"/>
  <c r="K57" i="28"/>
  <c r="E57" i="28"/>
  <c r="E56" i="28"/>
  <c r="F55" i="28"/>
  <c r="E54" i="28"/>
  <c r="E53" i="28"/>
  <c r="D52" i="28" s="1"/>
  <c r="F52" i="28"/>
  <c r="E48" i="28"/>
  <c r="E47" i="28"/>
  <c r="D46" i="28" s="1"/>
  <c r="F46" i="28"/>
  <c r="E45" i="28"/>
  <c r="E44" i="28"/>
  <c r="E43" i="28"/>
  <c r="E42" i="28"/>
  <c r="E41" i="28"/>
  <c r="D40" i="28" s="1"/>
  <c r="F40" i="28"/>
  <c r="E39" i="28"/>
  <c r="E38" i="28"/>
  <c r="E37" i="28"/>
  <c r="E36" i="28"/>
  <c r="E35" i="28"/>
  <c r="F34" i="28"/>
  <c r="E33" i="28"/>
  <c r="D31" i="28" s="1"/>
  <c r="E32" i="28"/>
  <c r="F31" i="28"/>
  <c r="F27" i="28"/>
  <c r="F7" i="28" s="1"/>
  <c r="J16" i="5" s="1"/>
  <c r="D13" i="28"/>
  <c r="D12" i="28"/>
  <c r="D11" i="28"/>
  <c r="D10" i="28"/>
  <c r="C10" i="28"/>
  <c r="D9" i="28"/>
  <c r="C9" i="28"/>
  <c r="D8" i="28"/>
  <c r="C8" i="28"/>
  <c r="C11" i="28" s="1"/>
  <c r="D7" i="28"/>
  <c r="E79" i="27"/>
  <c r="E78" i="27"/>
  <c r="D76" i="27" s="1"/>
  <c r="E77" i="27"/>
  <c r="F76" i="27"/>
  <c r="E73" i="27"/>
  <c r="E72" i="27"/>
  <c r="F71" i="27"/>
  <c r="D71" i="27"/>
  <c r="E68" i="27"/>
  <c r="E67" i="27"/>
  <c r="E66" i="27"/>
  <c r="F65" i="27"/>
  <c r="D60" i="27"/>
  <c r="E59" i="27"/>
  <c r="E58" i="27"/>
  <c r="K57" i="27"/>
  <c r="E57" i="27"/>
  <c r="E56" i="27"/>
  <c r="D55" i="27" s="1"/>
  <c r="F55" i="27"/>
  <c r="E54" i="27"/>
  <c r="E53" i="27"/>
  <c r="D52" i="27" s="1"/>
  <c r="F52" i="27"/>
  <c r="E48" i="27"/>
  <c r="E47" i="27"/>
  <c r="D46" i="27" s="1"/>
  <c r="F46" i="27"/>
  <c r="E45" i="27"/>
  <c r="E44" i="27"/>
  <c r="E43" i="27"/>
  <c r="E42" i="27"/>
  <c r="E41" i="27"/>
  <c r="F40" i="27"/>
  <c r="E39" i="27"/>
  <c r="E38" i="27"/>
  <c r="E37" i="27"/>
  <c r="D34" i="27" s="1"/>
  <c r="E36" i="27"/>
  <c r="E35" i="27"/>
  <c r="F34" i="27"/>
  <c r="E33" i="27"/>
  <c r="E32" i="27"/>
  <c r="F31" i="27"/>
  <c r="D31" i="27"/>
  <c r="F27" i="27"/>
  <c r="F7" i="27" s="1"/>
  <c r="I16" i="5" s="1"/>
  <c r="D13" i="27"/>
  <c r="D12" i="27"/>
  <c r="D11" i="27"/>
  <c r="D10" i="27"/>
  <c r="C10" i="27"/>
  <c r="D9" i="27"/>
  <c r="C9" i="27"/>
  <c r="D8" i="27"/>
  <c r="C8" i="27"/>
  <c r="D7" i="27"/>
  <c r="E79" i="26"/>
  <c r="E78" i="26"/>
  <c r="E77" i="26"/>
  <c r="F76" i="26"/>
  <c r="E73" i="26"/>
  <c r="E72" i="26"/>
  <c r="D71" i="26" s="1"/>
  <c r="F71" i="26"/>
  <c r="E68" i="26"/>
  <c r="E67" i="26"/>
  <c r="E66" i="26"/>
  <c r="D65" i="26" s="1"/>
  <c r="F65" i="26"/>
  <c r="F81" i="26" s="1"/>
  <c r="D60" i="26"/>
  <c r="E59" i="26"/>
  <c r="E58" i="26"/>
  <c r="K57" i="26"/>
  <c r="E57" i="26"/>
  <c r="E56" i="26"/>
  <c r="F55" i="26"/>
  <c r="E54" i="26"/>
  <c r="E53" i="26"/>
  <c r="D52" i="26" s="1"/>
  <c r="F52" i="26"/>
  <c r="E48" i="26"/>
  <c r="E47" i="26"/>
  <c r="D46" i="26" s="1"/>
  <c r="F46" i="26"/>
  <c r="E45" i="26"/>
  <c r="E44" i="26"/>
  <c r="E43" i="26"/>
  <c r="E42" i="26"/>
  <c r="E41" i="26"/>
  <c r="D40" i="26" s="1"/>
  <c r="F40" i="26"/>
  <c r="E39" i="26"/>
  <c r="E38" i="26"/>
  <c r="E37" i="26"/>
  <c r="E36" i="26"/>
  <c r="E35" i="26"/>
  <c r="F34" i="26"/>
  <c r="E33" i="26"/>
  <c r="D31" i="26" s="1"/>
  <c r="E32" i="26"/>
  <c r="F31" i="26"/>
  <c r="F27" i="26"/>
  <c r="F7" i="26" s="1"/>
  <c r="H16" i="5" s="1"/>
  <c r="D13" i="26"/>
  <c r="D12" i="26"/>
  <c r="D11" i="26"/>
  <c r="D10" i="26"/>
  <c r="C10" i="26"/>
  <c r="D9" i="26"/>
  <c r="C9" i="26"/>
  <c r="D8" i="26"/>
  <c r="C8" i="26"/>
  <c r="C11" i="26" s="1"/>
  <c r="D7" i="26"/>
  <c r="E79" i="25"/>
  <c r="E78" i="25"/>
  <c r="D76" i="25" s="1"/>
  <c r="E77" i="25"/>
  <c r="F76" i="25"/>
  <c r="E73" i="25"/>
  <c r="E72" i="25"/>
  <c r="F71" i="25"/>
  <c r="D71" i="25"/>
  <c r="E68" i="25"/>
  <c r="E67" i="25"/>
  <c r="E66" i="25"/>
  <c r="F65" i="25"/>
  <c r="D60" i="25"/>
  <c r="E59" i="25"/>
  <c r="E58" i="25"/>
  <c r="K57" i="25"/>
  <c r="E57" i="25"/>
  <c r="E56" i="25"/>
  <c r="D55" i="25" s="1"/>
  <c r="F55" i="25"/>
  <c r="E54" i="25"/>
  <c r="E53" i="25"/>
  <c r="D52" i="25" s="1"/>
  <c r="F52" i="25"/>
  <c r="E48" i="25"/>
  <c r="E47" i="25"/>
  <c r="D46" i="25" s="1"/>
  <c r="F46" i="25"/>
  <c r="E45" i="25"/>
  <c r="E44" i="25"/>
  <c r="E43" i="25"/>
  <c r="E42" i="25"/>
  <c r="E41" i="25"/>
  <c r="F40" i="25"/>
  <c r="E39" i="25"/>
  <c r="E38" i="25"/>
  <c r="E37" i="25"/>
  <c r="D34" i="25" s="1"/>
  <c r="E36" i="25"/>
  <c r="E35" i="25"/>
  <c r="F34" i="25"/>
  <c r="E33" i="25"/>
  <c r="E32" i="25"/>
  <c r="F31" i="25"/>
  <c r="D31" i="25"/>
  <c r="F27" i="25"/>
  <c r="F7" i="25" s="1"/>
  <c r="D13" i="25"/>
  <c r="D12" i="25"/>
  <c r="D11" i="25"/>
  <c r="D10" i="25"/>
  <c r="C10" i="25"/>
  <c r="D9" i="25"/>
  <c r="C9" i="25"/>
  <c r="D8" i="25"/>
  <c r="C8" i="25"/>
  <c r="D7" i="25"/>
  <c r="E79" i="24"/>
  <c r="E78" i="24"/>
  <c r="E77" i="24"/>
  <c r="F76" i="24"/>
  <c r="E73" i="24"/>
  <c r="E72" i="24"/>
  <c r="D71" i="24" s="1"/>
  <c r="F71" i="24"/>
  <c r="E68" i="24"/>
  <c r="E67" i="24"/>
  <c r="E66" i="24"/>
  <c r="D65" i="24" s="1"/>
  <c r="F65" i="24"/>
  <c r="F81" i="24" s="1"/>
  <c r="D60" i="24"/>
  <c r="E59" i="24"/>
  <c r="E58" i="24"/>
  <c r="K57" i="24"/>
  <c r="E57" i="24"/>
  <c r="E56" i="24"/>
  <c r="F55" i="24"/>
  <c r="E54" i="24"/>
  <c r="E53" i="24"/>
  <c r="D52" i="24" s="1"/>
  <c r="F52" i="24"/>
  <c r="E48" i="24"/>
  <c r="E47" i="24"/>
  <c r="F46" i="24"/>
  <c r="E45" i="24"/>
  <c r="E44" i="24"/>
  <c r="E43" i="24"/>
  <c r="E42" i="24"/>
  <c r="E41" i="24"/>
  <c r="D40" i="24" s="1"/>
  <c r="F40" i="24"/>
  <c r="E39" i="24"/>
  <c r="E38" i="24"/>
  <c r="E37" i="24"/>
  <c r="E36" i="24"/>
  <c r="E35" i="24"/>
  <c r="F34" i="24"/>
  <c r="E33" i="24"/>
  <c r="D31" i="24" s="1"/>
  <c r="E32" i="24"/>
  <c r="F31" i="24"/>
  <c r="F27" i="24"/>
  <c r="F7" i="24" s="1"/>
  <c r="D13" i="24"/>
  <c r="D12" i="24"/>
  <c r="D11" i="24"/>
  <c r="D10" i="24"/>
  <c r="C10" i="24"/>
  <c r="D9" i="24"/>
  <c r="C9" i="24"/>
  <c r="D8" i="24"/>
  <c r="C8" i="24"/>
  <c r="C11" i="24" s="1"/>
  <c r="D7" i="24"/>
  <c r="E79" i="23"/>
  <c r="E78" i="23"/>
  <c r="D76" i="23" s="1"/>
  <c r="E77" i="23"/>
  <c r="F76" i="23"/>
  <c r="E73" i="23"/>
  <c r="E72" i="23"/>
  <c r="F71" i="23"/>
  <c r="D71" i="23"/>
  <c r="E68" i="23"/>
  <c r="E67" i="23"/>
  <c r="E66" i="23"/>
  <c r="F65" i="23"/>
  <c r="D60" i="23"/>
  <c r="E59" i="23"/>
  <c r="E58" i="23"/>
  <c r="K57" i="23"/>
  <c r="E57" i="23"/>
  <c r="E56" i="23"/>
  <c r="D55" i="23" s="1"/>
  <c r="F55" i="23"/>
  <c r="E54" i="23"/>
  <c r="E53" i="23"/>
  <c r="D52" i="23" s="1"/>
  <c r="F52" i="23"/>
  <c r="E48" i="23"/>
  <c r="E47" i="23"/>
  <c r="D46" i="23" s="1"/>
  <c r="F46" i="23"/>
  <c r="E45" i="23"/>
  <c r="E44" i="23"/>
  <c r="E43" i="23"/>
  <c r="E42" i="23"/>
  <c r="E41" i="23"/>
  <c r="F40" i="23"/>
  <c r="E39" i="23"/>
  <c r="E38" i="23"/>
  <c r="E37" i="23"/>
  <c r="D34" i="23" s="1"/>
  <c r="E36" i="23"/>
  <c r="E35" i="23"/>
  <c r="F34" i="23"/>
  <c r="E33" i="23"/>
  <c r="E32" i="23"/>
  <c r="F31" i="23"/>
  <c r="D31" i="23"/>
  <c r="F27" i="23"/>
  <c r="F7" i="23" s="1"/>
  <c r="E16" i="5" s="1"/>
  <c r="D13" i="23"/>
  <c r="D12" i="23"/>
  <c r="D11" i="23"/>
  <c r="D10" i="23"/>
  <c r="C10" i="23"/>
  <c r="D9" i="23"/>
  <c r="C9" i="23"/>
  <c r="D8" i="23"/>
  <c r="C8" i="23"/>
  <c r="D7" i="23"/>
  <c r="E79" i="22"/>
  <c r="E78" i="22"/>
  <c r="E77" i="22"/>
  <c r="D76" i="22" s="1"/>
  <c r="F76" i="22"/>
  <c r="E73" i="22"/>
  <c r="D71" i="22" s="1"/>
  <c r="E72" i="22"/>
  <c r="F71" i="22"/>
  <c r="E68" i="22"/>
  <c r="E67" i="22"/>
  <c r="E66" i="22"/>
  <c r="D65" i="22" s="1"/>
  <c r="F65" i="22"/>
  <c r="D60" i="22"/>
  <c r="E59" i="22"/>
  <c r="D55" i="22" s="1"/>
  <c r="E58" i="22"/>
  <c r="K57" i="22"/>
  <c r="E57" i="22"/>
  <c r="E56" i="22"/>
  <c r="F55" i="22"/>
  <c r="E54" i="22"/>
  <c r="E53" i="22"/>
  <c r="D52" i="22" s="1"/>
  <c r="F52" i="22"/>
  <c r="E48" i="22"/>
  <c r="E47" i="22"/>
  <c r="D46" i="22" s="1"/>
  <c r="F46" i="22"/>
  <c r="E45" i="22"/>
  <c r="E44" i="22"/>
  <c r="E43" i="22"/>
  <c r="D40" i="22" s="1"/>
  <c r="E42" i="22"/>
  <c r="E41" i="22"/>
  <c r="F40" i="22"/>
  <c r="E39" i="22"/>
  <c r="E38" i="22"/>
  <c r="E37" i="22"/>
  <c r="E36" i="22"/>
  <c r="E35" i="22"/>
  <c r="F34" i="22"/>
  <c r="E33" i="22"/>
  <c r="E32" i="22"/>
  <c r="F31" i="22"/>
  <c r="F27" i="22"/>
  <c r="D13" i="22"/>
  <c r="D12" i="22"/>
  <c r="D11" i="22"/>
  <c r="D10" i="22"/>
  <c r="C10" i="22"/>
  <c r="D9" i="22"/>
  <c r="C9" i="22"/>
  <c r="D8" i="22"/>
  <c r="C8" i="22"/>
  <c r="C11" i="22" s="1"/>
  <c r="F7" i="22"/>
  <c r="D16" i="5" s="1"/>
  <c r="D7" i="22"/>
  <c r="E79" i="21"/>
  <c r="E78" i="21"/>
  <c r="E77" i="21"/>
  <c r="F76" i="21"/>
  <c r="E73" i="21"/>
  <c r="E72" i="21"/>
  <c r="F71" i="21"/>
  <c r="E68" i="21"/>
  <c r="E67" i="21"/>
  <c r="E66" i="21"/>
  <c r="F65" i="21"/>
  <c r="D60" i="21"/>
  <c r="E59" i="21"/>
  <c r="E58" i="21"/>
  <c r="K57" i="21"/>
  <c r="E57" i="21"/>
  <c r="D55" i="21" s="1"/>
  <c r="E56" i="21"/>
  <c r="F55" i="21"/>
  <c r="E54" i="21"/>
  <c r="E53" i="21"/>
  <c r="F52" i="21"/>
  <c r="D52" i="21"/>
  <c r="E48" i="21"/>
  <c r="E47" i="21"/>
  <c r="F46" i="21"/>
  <c r="E45" i="21"/>
  <c r="E44" i="21"/>
  <c r="E43" i="21"/>
  <c r="E42" i="21"/>
  <c r="E41" i="21"/>
  <c r="F40" i="21"/>
  <c r="F62" i="21" s="1"/>
  <c r="C12" i="21" s="1"/>
  <c r="E39" i="21"/>
  <c r="E38" i="21"/>
  <c r="E37" i="21"/>
  <c r="E36" i="21"/>
  <c r="E35" i="21"/>
  <c r="F34" i="21"/>
  <c r="E33" i="21"/>
  <c r="E32" i="21"/>
  <c r="F31" i="21"/>
  <c r="F27" i="21"/>
  <c r="D13" i="21"/>
  <c r="D12" i="21"/>
  <c r="D11" i="21"/>
  <c r="D10" i="21"/>
  <c r="C10" i="21"/>
  <c r="D9" i="21"/>
  <c r="C9" i="21"/>
  <c r="D8" i="21"/>
  <c r="C8" i="21"/>
  <c r="F7" i="21"/>
  <c r="D7" i="21"/>
  <c r="E79" i="20"/>
  <c r="E78" i="20"/>
  <c r="E77" i="20"/>
  <c r="F76" i="20"/>
  <c r="E73" i="20"/>
  <c r="E72" i="20"/>
  <c r="F71" i="20"/>
  <c r="E68" i="20"/>
  <c r="E67" i="20"/>
  <c r="E66" i="20"/>
  <c r="D65" i="20" s="1"/>
  <c r="F65" i="20"/>
  <c r="D60" i="20"/>
  <c r="E59" i="20"/>
  <c r="E58" i="20"/>
  <c r="K57" i="20"/>
  <c r="E57" i="20"/>
  <c r="E56" i="20"/>
  <c r="F55" i="20"/>
  <c r="E54" i="20"/>
  <c r="E53" i="20"/>
  <c r="F52" i="20"/>
  <c r="E48" i="20"/>
  <c r="E47" i="20"/>
  <c r="F46" i="20"/>
  <c r="E45" i="20"/>
  <c r="E44" i="20"/>
  <c r="E43" i="20"/>
  <c r="E42" i="20"/>
  <c r="E41" i="20"/>
  <c r="F40" i="20"/>
  <c r="E39" i="20"/>
  <c r="E38" i="20"/>
  <c r="E37" i="20"/>
  <c r="E36" i="20"/>
  <c r="E35" i="20"/>
  <c r="F34" i="20"/>
  <c r="E33" i="20"/>
  <c r="E32" i="20"/>
  <c r="F31" i="20"/>
  <c r="F27" i="20"/>
  <c r="F7" i="20" s="1"/>
  <c r="C16" i="5" s="1"/>
  <c r="D13" i="20"/>
  <c r="D12" i="20"/>
  <c r="D11" i="20"/>
  <c r="D10" i="20"/>
  <c r="C10" i="20"/>
  <c r="D9" i="20"/>
  <c r="C9" i="20"/>
  <c r="D8" i="20"/>
  <c r="C8" i="20"/>
  <c r="C11" i="20" s="1"/>
  <c r="D7" i="20"/>
  <c r="E21" i="19"/>
  <c r="D71" i="20" l="1"/>
  <c r="F9" i="20" s="1"/>
  <c r="D46" i="20"/>
  <c r="D31" i="20"/>
  <c r="J18" i="5"/>
  <c r="D31" i="21"/>
  <c r="E62" i="21" s="1"/>
  <c r="F12" i="21" s="1"/>
  <c r="F62" i="23"/>
  <c r="C12" i="23" s="1"/>
  <c r="C13" i="26"/>
  <c r="F62" i="29"/>
  <c r="C12" i="29" s="1"/>
  <c r="C13" i="30"/>
  <c r="F62" i="31"/>
  <c r="C12" i="31" s="1"/>
  <c r="D34" i="21"/>
  <c r="D55" i="26"/>
  <c r="C51" i="26" s="1"/>
  <c r="C85" i="26" s="1"/>
  <c r="D40" i="27"/>
  <c r="E62" i="27" s="1"/>
  <c r="F12" i="27" s="1"/>
  <c r="I17" i="5" s="1"/>
  <c r="I18" i="5" s="1"/>
  <c r="D34" i="28"/>
  <c r="D76" i="28"/>
  <c r="D55" i="30"/>
  <c r="D76" i="30"/>
  <c r="D40" i="31"/>
  <c r="D34" i="32"/>
  <c r="D55" i="32"/>
  <c r="C11" i="21"/>
  <c r="F81" i="21"/>
  <c r="C51" i="25"/>
  <c r="C85" i="25" s="1"/>
  <c r="D65" i="21"/>
  <c r="D76" i="21"/>
  <c r="E81" i="21" s="1"/>
  <c r="D31" i="22"/>
  <c r="F81" i="23"/>
  <c r="D46" i="24"/>
  <c r="F81" i="25"/>
  <c r="F81" i="27"/>
  <c r="F81" i="29"/>
  <c r="F81" i="31"/>
  <c r="D34" i="22"/>
  <c r="E62" i="22" s="1"/>
  <c r="F12" i="22" s="1"/>
  <c r="D17" i="5" s="1"/>
  <c r="D18" i="5" s="1"/>
  <c r="F81" i="22"/>
  <c r="D40" i="21"/>
  <c r="D71" i="21"/>
  <c r="F62" i="25"/>
  <c r="C12" i="25" s="1"/>
  <c r="F62" i="27"/>
  <c r="C12" i="27" s="1"/>
  <c r="D40" i="23"/>
  <c r="G16" i="5"/>
  <c r="F16" i="5"/>
  <c r="D34" i="24"/>
  <c r="D55" i="24"/>
  <c r="D76" i="24"/>
  <c r="D40" i="25"/>
  <c r="D34" i="26"/>
  <c r="E62" i="26" s="1"/>
  <c r="F12" i="26" s="1"/>
  <c r="H17" i="5" s="1"/>
  <c r="H18" i="5" s="1"/>
  <c r="D76" i="26"/>
  <c r="D55" i="28"/>
  <c r="D40" i="29"/>
  <c r="E62" i="29" s="1"/>
  <c r="F12" i="29" s="1"/>
  <c r="K17" i="5" s="1"/>
  <c r="K18" i="5" s="1"/>
  <c r="D34" i="30"/>
  <c r="F62" i="22"/>
  <c r="C12" i="22" s="1"/>
  <c r="C13" i="22" s="1"/>
  <c r="F81" i="20"/>
  <c r="D46" i="21"/>
  <c r="C11" i="23"/>
  <c r="C13" i="23" s="1"/>
  <c r="D65" i="23"/>
  <c r="F62" i="24"/>
  <c r="C12" i="24" s="1"/>
  <c r="C13" i="24" s="1"/>
  <c r="C11" i="25"/>
  <c r="C13" i="25" s="1"/>
  <c r="D65" i="25"/>
  <c r="F62" i="26"/>
  <c r="C12" i="26" s="1"/>
  <c r="C11" i="27"/>
  <c r="D65" i="27"/>
  <c r="F62" i="28"/>
  <c r="C12" i="28" s="1"/>
  <c r="C13" i="28" s="1"/>
  <c r="C11" i="29"/>
  <c r="C13" i="29" s="1"/>
  <c r="D65" i="29"/>
  <c r="F62" i="30"/>
  <c r="C12" i="30" s="1"/>
  <c r="C11" i="31"/>
  <c r="C13" i="31" s="1"/>
  <c r="D65" i="31"/>
  <c r="F62" i="32"/>
  <c r="C12" i="32" s="1"/>
  <c r="C13" i="32" s="1"/>
  <c r="D52" i="32"/>
  <c r="D76" i="32"/>
  <c r="E81" i="32"/>
  <c r="F8" i="32"/>
  <c r="F9" i="32"/>
  <c r="E81" i="31"/>
  <c r="F8" i="31"/>
  <c r="F10" i="31"/>
  <c r="F11" i="31" s="1"/>
  <c r="E62" i="31"/>
  <c r="F12" i="31" s="1"/>
  <c r="M17" i="5" s="1"/>
  <c r="M18" i="5" s="1"/>
  <c r="F9" i="31"/>
  <c r="E81" i="30"/>
  <c r="F8" i="30"/>
  <c r="F10" i="30"/>
  <c r="F9" i="30"/>
  <c r="F10" i="29"/>
  <c r="F9" i="29"/>
  <c r="F8" i="28"/>
  <c r="E62" i="28"/>
  <c r="F12" i="28" s="1"/>
  <c r="J17" i="5" s="1"/>
  <c r="F9" i="28"/>
  <c r="E81" i="27"/>
  <c r="F10" i="27"/>
  <c r="F9" i="27"/>
  <c r="E81" i="26"/>
  <c r="F8" i="26"/>
  <c r="F10" i="26"/>
  <c r="F9" i="26"/>
  <c r="E81" i="25"/>
  <c r="C30" i="25" s="1"/>
  <c r="C84" i="25" s="1"/>
  <c r="F8" i="25"/>
  <c r="F10" i="25"/>
  <c r="E62" i="25"/>
  <c r="F12" i="25" s="1"/>
  <c r="G17" i="5" s="1"/>
  <c r="F9" i="25"/>
  <c r="E81" i="24"/>
  <c r="F8" i="24"/>
  <c r="F10" i="24"/>
  <c r="F9" i="24"/>
  <c r="F11" i="24" s="1"/>
  <c r="E81" i="23"/>
  <c r="F8" i="23"/>
  <c r="F10" i="23"/>
  <c r="F9" i="23"/>
  <c r="F10" i="22"/>
  <c r="E81" i="22"/>
  <c r="F8" i="22"/>
  <c r="F9" i="22"/>
  <c r="F11" i="22" s="1"/>
  <c r="F8" i="21"/>
  <c r="F10" i="21"/>
  <c r="C13" i="21"/>
  <c r="F9" i="21"/>
  <c r="F11" i="21" s="1"/>
  <c r="F13" i="21" s="1"/>
  <c r="C70" i="21"/>
  <c r="C87" i="21" s="1"/>
  <c r="D34" i="20"/>
  <c r="D40" i="20"/>
  <c r="D55" i="20"/>
  <c r="D76" i="20"/>
  <c r="F10" i="20" s="1"/>
  <c r="D52" i="20"/>
  <c r="F62" i="20"/>
  <c r="C12" i="20" s="1"/>
  <c r="C13" i="20" s="1"/>
  <c r="F8" i="20"/>
  <c r="I3" i="19"/>
  <c r="I4" i="19" s="1"/>
  <c r="I5" i="19" s="1"/>
  <c r="I6" i="19" s="1"/>
  <c r="I7" i="19" s="1"/>
  <c r="I8" i="19" s="1"/>
  <c r="I9" i="19" s="1"/>
  <c r="I10" i="19" s="1"/>
  <c r="I11" i="19" s="1"/>
  <c r="I12" i="19" s="1"/>
  <c r="I13" i="19" s="1"/>
  <c r="I14" i="19" s="1"/>
  <c r="I15" i="19" s="1"/>
  <c r="I16" i="19" s="1"/>
  <c r="I17" i="19" s="1"/>
  <c r="I18" i="19" s="1"/>
  <c r="I19" i="19" s="1"/>
  <c r="I20" i="19" s="1"/>
  <c r="I21" i="19" s="1"/>
  <c r="I22" i="19" s="1"/>
  <c r="I23" i="19" s="1"/>
  <c r="I24" i="19" s="1"/>
  <c r="I25" i="19" s="1"/>
  <c r="I26" i="19" s="1"/>
  <c r="I27" i="19" s="1"/>
  <c r="I28" i="19" s="1"/>
  <c r="I29" i="19" s="1"/>
  <c r="I30" i="19" s="1"/>
  <c r="I31" i="19" s="1"/>
  <c r="I32" i="19" s="1"/>
  <c r="I33" i="19" s="1"/>
  <c r="I34" i="19" s="1"/>
  <c r="I35" i="19" s="1"/>
  <c r="I36" i="19" s="1"/>
  <c r="I37" i="19" s="1"/>
  <c r="I38" i="19" s="1"/>
  <c r="J38" i="19" s="1"/>
  <c r="G15" i="19"/>
  <c r="G16" i="19" s="1"/>
  <c r="G17" i="19" s="1"/>
  <c r="G18" i="19" s="1"/>
  <c r="G19" i="19" s="1"/>
  <c r="G20" i="19" s="1"/>
  <c r="G21" i="19" s="1"/>
  <c r="G22" i="19" s="1"/>
  <c r="G23" i="19" s="1"/>
  <c r="G24" i="19" s="1"/>
  <c r="G25" i="19" s="1"/>
  <c r="G26" i="19" s="1"/>
  <c r="G27" i="19" s="1"/>
  <c r="G28" i="19" s="1"/>
  <c r="G29" i="19" s="1"/>
  <c r="G30" i="19" s="1"/>
  <c r="G31" i="19" s="1"/>
  <c r="G32" i="19" s="1"/>
  <c r="G33" i="19" s="1"/>
  <c r="G34" i="19" s="1"/>
  <c r="G35" i="19" s="1"/>
  <c r="G36" i="19" s="1"/>
  <c r="G37" i="19" s="1"/>
  <c r="G38" i="19" s="1"/>
  <c r="E10" i="19"/>
  <c r="D11" i="18"/>
  <c r="E81" i="20" l="1"/>
  <c r="C70" i="20" s="1"/>
  <c r="C87" i="20" s="1"/>
  <c r="E81" i="29"/>
  <c r="C51" i="22"/>
  <c r="C85" i="22" s="1"/>
  <c r="C64" i="32"/>
  <c r="C86" i="32" s="1"/>
  <c r="F11" i="26"/>
  <c r="F13" i="26" s="1"/>
  <c r="C70" i="26"/>
  <c r="C87" i="26" s="1"/>
  <c r="C64" i="26"/>
  <c r="C86" i="26" s="1"/>
  <c r="C51" i="21"/>
  <c r="C85" i="21" s="1"/>
  <c r="C75" i="21"/>
  <c r="C88" i="21" s="1"/>
  <c r="F8" i="29"/>
  <c r="F11" i="29" s="1"/>
  <c r="F13" i="29" s="1"/>
  <c r="C75" i="31"/>
  <c r="C88" i="31" s="1"/>
  <c r="C51" i="31"/>
  <c r="C85" i="31" s="1"/>
  <c r="F13" i="22"/>
  <c r="C51" i="27"/>
  <c r="C85" i="27" s="1"/>
  <c r="C75" i="27"/>
  <c r="C88" i="27" s="1"/>
  <c r="C70" i="27"/>
  <c r="C87" i="27" s="1"/>
  <c r="E62" i="30"/>
  <c r="C30" i="30"/>
  <c r="C84" i="30" s="1"/>
  <c r="E62" i="24"/>
  <c r="F12" i="24" s="1"/>
  <c r="F17" i="5" s="1"/>
  <c r="F18" i="5" s="1"/>
  <c r="E81" i="28"/>
  <c r="F10" i="28"/>
  <c r="C70" i="31"/>
  <c r="C87" i="31" s="1"/>
  <c r="C75" i="25"/>
  <c r="C88" i="25" s="1"/>
  <c r="C30" i="26"/>
  <c r="C84" i="26" s="1"/>
  <c r="G18" i="5"/>
  <c r="C70" i="25"/>
  <c r="C87" i="25" s="1"/>
  <c r="C30" i="27"/>
  <c r="C84" i="27" s="1"/>
  <c r="F11" i="25"/>
  <c r="F13" i="25" s="1"/>
  <c r="F11" i="28"/>
  <c r="F13" i="28" s="1"/>
  <c r="C64" i="27"/>
  <c r="C86" i="27" s="1"/>
  <c r="C75" i="26"/>
  <c r="C88" i="26" s="1"/>
  <c r="C64" i="22"/>
  <c r="C86" i="22" s="1"/>
  <c r="C70" i="22"/>
  <c r="C87" i="22" s="1"/>
  <c r="C30" i="22"/>
  <c r="C84" i="22" s="1"/>
  <c r="F11" i="30"/>
  <c r="C13" i="27"/>
  <c r="C75" i="22"/>
  <c r="C88" i="22" s="1"/>
  <c r="C30" i="31"/>
  <c r="C84" i="31" s="1"/>
  <c r="E62" i="20"/>
  <c r="F12" i="20" s="1"/>
  <c r="C17" i="5" s="1"/>
  <c r="C18" i="5" s="1"/>
  <c r="F11" i="23"/>
  <c r="E62" i="32"/>
  <c r="C64" i="31"/>
  <c r="C86" i="31" s="1"/>
  <c r="E62" i="23"/>
  <c r="F8" i="27"/>
  <c r="F11" i="27" s="1"/>
  <c r="F10" i="32"/>
  <c r="F11" i="32" s="1"/>
  <c r="C64" i="25"/>
  <c r="C86" i="25" s="1"/>
  <c r="C75" i="30"/>
  <c r="C88" i="30" s="1"/>
  <c r="F13" i="31"/>
  <c r="F13" i="27"/>
  <c r="C64" i="21"/>
  <c r="C86" i="21" s="1"/>
  <c r="C30" i="21"/>
  <c r="C84" i="21" s="1"/>
  <c r="F11" i="20"/>
  <c r="H9" i="19"/>
  <c r="H5" i="19"/>
  <c r="H32" i="19"/>
  <c r="H24" i="19"/>
  <c r="H16" i="19"/>
  <c r="H8" i="19"/>
  <c r="J36" i="19"/>
  <c r="J32" i="19"/>
  <c r="J24" i="19"/>
  <c r="J16" i="19"/>
  <c r="J8" i="19"/>
  <c r="H38" i="19"/>
  <c r="H34" i="19"/>
  <c r="H30" i="19"/>
  <c r="H26" i="19"/>
  <c r="H22" i="19"/>
  <c r="H18" i="19"/>
  <c r="H14" i="19"/>
  <c r="H10" i="19"/>
  <c r="H6" i="19"/>
  <c r="J34" i="19"/>
  <c r="J30" i="19"/>
  <c r="J26" i="19"/>
  <c r="J22" i="19"/>
  <c r="J18" i="19"/>
  <c r="J14" i="19"/>
  <c r="J10" i="19"/>
  <c r="J6" i="19"/>
  <c r="H37" i="19"/>
  <c r="H33" i="19"/>
  <c r="H29" i="19"/>
  <c r="H25" i="19"/>
  <c r="H21" i="19"/>
  <c r="H17" i="19"/>
  <c r="H13" i="19"/>
  <c r="J37" i="19"/>
  <c r="J33" i="19"/>
  <c r="J29" i="19"/>
  <c r="J25" i="19"/>
  <c r="J21" i="19"/>
  <c r="J17" i="19"/>
  <c r="J13" i="19"/>
  <c r="J9" i="19"/>
  <c r="J5" i="19"/>
  <c r="H36" i="19"/>
  <c r="H28" i="19"/>
  <c r="H20" i="19"/>
  <c r="H12" i="19"/>
  <c r="H4" i="19"/>
  <c r="J28" i="19"/>
  <c r="J20" i="19"/>
  <c r="J12" i="19"/>
  <c r="J4" i="19"/>
  <c r="H3" i="19"/>
  <c r="H35" i="19"/>
  <c r="H31" i="19"/>
  <c r="H27" i="19"/>
  <c r="H23" i="19"/>
  <c r="H19" i="19"/>
  <c r="H15" i="19"/>
  <c r="H11" i="19"/>
  <c r="H7" i="19"/>
  <c r="J3" i="19"/>
  <c r="J35" i="19"/>
  <c r="J31" i="19"/>
  <c r="J27" i="19"/>
  <c r="J23" i="19"/>
  <c r="J19" i="19"/>
  <c r="J15" i="19"/>
  <c r="J11" i="19"/>
  <c r="J7" i="19"/>
  <c r="F13" i="20" l="1"/>
  <c r="C30" i="20"/>
  <c r="C84" i="20" s="1"/>
  <c r="C75" i="20"/>
  <c r="C88" i="20" s="1"/>
  <c r="C64" i="20"/>
  <c r="C86" i="20" s="1"/>
  <c r="C51" i="20"/>
  <c r="C85" i="20" s="1"/>
  <c r="F12" i="23"/>
  <c r="E17" i="5" s="1"/>
  <c r="E18" i="5" s="1"/>
  <c r="C51" i="23"/>
  <c r="C85" i="23" s="1"/>
  <c r="C64" i="28"/>
  <c r="C86" i="28" s="1"/>
  <c r="C70" i="28"/>
  <c r="C87" i="28" s="1"/>
  <c r="C51" i="28"/>
  <c r="C85" i="28" s="1"/>
  <c r="F13" i="30"/>
  <c r="C75" i="28"/>
  <c r="C88" i="28" s="1"/>
  <c r="C70" i="23"/>
  <c r="C87" i="23" s="1"/>
  <c r="F12" i="32"/>
  <c r="N17" i="5" s="1"/>
  <c r="N18" i="5" s="1"/>
  <c r="C70" i="32"/>
  <c r="C87" i="32" s="1"/>
  <c r="C30" i="24"/>
  <c r="C84" i="24" s="1"/>
  <c r="C70" i="24"/>
  <c r="C87" i="24" s="1"/>
  <c r="C75" i="24"/>
  <c r="C88" i="24" s="1"/>
  <c r="F13" i="23"/>
  <c r="C75" i="23"/>
  <c r="C88" i="23" s="1"/>
  <c r="C64" i="23"/>
  <c r="C86" i="23" s="1"/>
  <c r="C51" i="24"/>
  <c r="C85" i="24" s="1"/>
  <c r="C30" i="32"/>
  <c r="C84" i="32" s="1"/>
  <c r="C51" i="29"/>
  <c r="C85" i="29" s="1"/>
  <c r="C75" i="29"/>
  <c r="C88" i="29" s="1"/>
  <c r="C30" i="29"/>
  <c r="C84" i="29" s="1"/>
  <c r="C70" i="29"/>
  <c r="C87" i="29" s="1"/>
  <c r="C30" i="28"/>
  <c r="C84" i="28" s="1"/>
  <c r="F12" i="30"/>
  <c r="L17" i="5" s="1"/>
  <c r="L18" i="5" s="1"/>
  <c r="C64" i="30"/>
  <c r="C86" i="30" s="1"/>
  <c r="C51" i="30"/>
  <c r="C85" i="30" s="1"/>
  <c r="C64" i="29"/>
  <c r="C86" i="29" s="1"/>
  <c r="C64" i="24"/>
  <c r="C86" i="24" s="1"/>
  <c r="C70" i="30"/>
  <c r="C87" i="30" s="1"/>
  <c r="F13" i="24"/>
  <c r="C51" i="32"/>
  <c r="C85" i="32" s="1"/>
  <c r="C75" i="32"/>
  <c r="C88" i="32" s="1"/>
  <c r="C30" i="23"/>
  <c r="C84" i="23" s="1"/>
  <c r="F76" i="18"/>
  <c r="F71" i="18"/>
  <c r="F65" i="18"/>
  <c r="F81" i="18" s="1"/>
  <c r="F55" i="18"/>
  <c r="F52" i="18"/>
  <c r="F46" i="18"/>
  <c r="F40" i="18"/>
  <c r="F34" i="18"/>
  <c r="F31" i="18"/>
  <c r="F13" i="32" l="1"/>
  <c r="F62" i="18"/>
  <c r="E42" i="18"/>
  <c r="K57" i="18"/>
  <c r="C9" i="18"/>
  <c r="C10" i="18"/>
  <c r="C8" i="18"/>
  <c r="C11" i="18" s="1"/>
  <c r="D13" i="18"/>
  <c r="D9" i="18"/>
  <c r="E56" i="18"/>
  <c r="E48" i="18"/>
  <c r="E33" i="18"/>
  <c r="D10" i="18"/>
  <c r="C12" i="18" l="1"/>
  <c r="C13" i="18" s="1"/>
  <c r="D8" i="18"/>
  <c r="D12" i="18"/>
  <c r="D7" i="18"/>
  <c r="F27" i="18"/>
  <c r="F7" i="18" s="1"/>
  <c r="E72" i="18"/>
  <c r="E79" i="18"/>
  <c r="E77" i="18"/>
  <c r="E78" i="18"/>
  <c r="E68" i="18"/>
  <c r="E67" i="18"/>
  <c r="E66" i="18"/>
  <c r="E73" i="18"/>
  <c r="E57" i="18"/>
  <c r="E58" i="18"/>
  <c r="D60" i="18"/>
  <c r="E59" i="18"/>
  <c r="E54" i="18"/>
  <c r="E53" i="18"/>
  <c r="E47" i="18"/>
  <c r="E45" i="18"/>
  <c r="E44" i="18"/>
  <c r="E43" i="18"/>
  <c r="E41" i="18"/>
  <c r="E39" i="18"/>
  <c r="E38" i="18"/>
  <c r="E37" i="18"/>
  <c r="E36" i="18"/>
  <c r="E35" i="18"/>
  <c r="E32" i="18"/>
  <c r="D55" i="18" l="1"/>
  <c r="D34" i="18"/>
  <c r="D40" i="18"/>
  <c r="D76" i="18"/>
  <c r="D65" i="18"/>
  <c r="D46" i="18"/>
  <c r="D71" i="18"/>
  <c r="D52" i="18"/>
  <c r="D31" i="18"/>
  <c r="C51" i="18" l="1"/>
  <c r="C85" i="18" s="1"/>
  <c r="F9" i="18"/>
  <c r="F10" i="18"/>
  <c r="E62" i="18"/>
  <c r="F12" i="18" s="1"/>
  <c r="F8" i="18"/>
  <c r="F11" i="18" s="1"/>
  <c r="F13" i="18" s="1"/>
  <c r="E81" i="18"/>
  <c r="C30" i="18" l="1"/>
  <c r="C84" i="18" s="1"/>
  <c r="C75" i="18"/>
  <c r="C88" i="18" s="1"/>
  <c r="C64" i="18"/>
  <c r="C86" i="18" s="1"/>
  <c r="C70" i="18"/>
  <c r="C87" i="18" s="1"/>
  <c r="O17" i="5"/>
  <c r="O16" i="5" l="1"/>
  <c r="O18" i="5" s="1"/>
</calcChain>
</file>

<file path=xl/sharedStrings.xml><?xml version="1.0" encoding="utf-8"?>
<sst xmlns="http://schemas.openxmlformats.org/spreadsheetml/2006/main" count="1161" uniqueCount="211">
  <si>
    <t>Expenses</t>
  </si>
  <si>
    <t>Budgeting</t>
  </si>
  <si>
    <t>Income</t>
  </si>
  <si>
    <t>Total Income</t>
  </si>
  <si>
    <t>Total Expenses</t>
  </si>
  <si>
    <t>Date</t>
  </si>
  <si>
    <t>Amount</t>
  </si>
  <si>
    <t>Expense Description</t>
  </si>
  <si>
    <t>Category</t>
  </si>
  <si>
    <t>Month 1 Budget</t>
  </si>
  <si>
    <t>Month 1 Expense Tracking</t>
  </si>
  <si>
    <t>Month 1 Goals</t>
  </si>
  <si>
    <t>Savings</t>
  </si>
  <si>
    <t>Month 1 Results</t>
  </si>
  <si>
    <t>Debt</t>
  </si>
  <si>
    <t>The Friendly Personal Finance Tool</t>
  </si>
  <si>
    <t>HOW TO USE</t>
  </si>
  <si>
    <r>
      <rPr>
        <b/>
        <sz val="11"/>
        <color theme="1"/>
        <rFont val="Calibri"/>
        <family val="2"/>
        <scheme val="minor"/>
      </rPr>
      <t xml:space="preserve">1. </t>
    </r>
    <r>
      <rPr>
        <sz val="11"/>
        <color theme="1"/>
        <rFont val="Calibri"/>
        <family val="2"/>
        <scheme val="minor"/>
      </rPr>
      <t>Create a list of financial goals you have including saving, spending, education, and paying off debt</t>
    </r>
  </si>
  <si>
    <t>With this tool, you will be able to set financial goals, track expenses, create a budget, and compare monthly cash flows.</t>
  </si>
  <si>
    <t>Total Month 1 Expenses</t>
  </si>
  <si>
    <t>Checking 1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</si>
  <si>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</si>
  <si>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</si>
  <si>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</si>
  <si>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</si>
  <si>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</si>
  <si>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</si>
  <si>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</si>
  <si>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</si>
  <si>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</si>
  <si>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</si>
  <si>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</si>
  <si>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</si>
  <si>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Annual Cash Flow</t>
  </si>
  <si>
    <t>Expense</t>
  </si>
  <si>
    <t>Net Income</t>
  </si>
  <si>
    <t>GOALS</t>
  </si>
  <si>
    <t>Housing</t>
  </si>
  <si>
    <t>Utilities</t>
  </si>
  <si>
    <t>Food</t>
  </si>
  <si>
    <t>Uber</t>
  </si>
  <si>
    <t>Entertainment</t>
  </si>
  <si>
    <t>Gas</t>
  </si>
  <si>
    <t>Donations</t>
  </si>
  <si>
    <t>Tuition</t>
  </si>
  <si>
    <t>Calvin Payroll</t>
  </si>
  <si>
    <t>Babysitting</t>
  </si>
  <si>
    <t>EXTRAS</t>
  </si>
  <si>
    <t>View the overview tab to see how you have done over the course of 12 months with your goals, account balances, and overall cash flow</t>
  </si>
  <si>
    <t>The charts and annual cash flow table will automatically fill in based on the data put into the monthly tables</t>
  </si>
  <si>
    <t>HELP</t>
  </si>
  <si>
    <r>
      <t xml:space="preserve">If you need help, accountability, suggestions, or you just have financial questions in general, </t>
    </r>
    <r>
      <rPr>
        <b/>
        <sz val="11"/>
        <color theme="1"/>
        <rFont val="Calibri"/>
        <family val="2"/>
        <scheme val="minor"/>
      </rPr>
      <t>come visit a Peer Financial Coach</t>
    </r>
    <r>
      <rPr>
        <sz val="11"/>
        <color theme="1"/>
        <rFont val="Calibri"/>
        <family val="2"/>
        <scheme val="minor"/>
      </rPr>
      <t xml:space="preserve"> who will gladly help you in any way!</t>
    </r>
  </si>
  <si>
    <t>Checking 2</t>
  </si>
  <si>
    <t>Investment</t>
  </si>
  <si>
    <t>Credit</t>
  </si>
  <si>
    <t>Retirement</t>
  </si>
  <si>
    <t>Located at HL 218</t>
  </si>
  <si>
    <r>
      <t xml:space="preserve">The goal of this tool is to </t>
    </r>
    <r>
      <rPr>
        <b/>
        <u/>
        <sz val="11"/>
        <color theme="1"/>
        <rFont val="Calibri"/>
        <family val="2"/>
        <scheme val="minor"/>
      </rPr>
      <t>HELP YOU</t>
    </r>
    <r>
      <rPr>
        <sz val="11"/>
        <color theme="1"/>
        <rFont val="Calibri"/>
        <family val="2"/>
        <scheme val="minor"/>
      </rPr>
      <t xml:space="preserve"> become aware of your financial situation, set goals, and progress towards those goals.</t>
    </r>
  </si>
  <si>
    <t>Acount Balances</t>
  </si>
  <si>
    <t xml:space="preserve">Cash </t>
  </si>
  <si>
    <t>Investments</t>
  </si>
  <si>
    <t>Year Total</t>
  </si>
  <si>
    <t xml:space="preserve">Rent </t>
  </si>
  <si>
    <t>Fast Food</t>
  </si>
  <si>
    <t>Groceries</t>
  </si>
  <si>
    <t>Coffee</t>
  </si>
  <si>
    <t>Bars</t>
  </si>
  <si>
    <t>Transporation</t>
  </si>
  <si>
    <t>Insurance</t>
  </si>
  <si>
    <t>Parking</t>
  </si>
  <si>
    <t>Education</t>
  </si>
  <si>
    <t>Books</t>
  </si>
  <si>
    <t>Subscription</t>
  </si>
  <si>
    <t>Shopping</t>
  </si>
  <si>
    <t>Clothes</t>
  </si>
  <si>
    <t>Accessories</t>
  </si>
  <si>
    <t>Gifts</t>
  </si>
  <si>
    <t>Hobbies</t>
  </si>
  <si>
    <t>Rent Payment</t>
  </si>
  <si>
    <t>Rent</t>
  </si>
  <si>
    <t>Consumers</t>
  </si>
  <si>
    <t>Cosmetics</t>
  </si>
  <si>
    <t>Restaurants</t>
  </si>
  <si>
    <t>Maintenance</t>
  </si>
  <si>
    <t>Events</t>
  </si>
  <si>
    <t>SAVINGS</t>
  </si>
  <si>
    <t>TITHINGS</t>
  </si>
  <si>
    <t>LIVING EXPENSES</t>
  </si>
  <si>
    <t>Emergency Fund</t>
  </si>
  <si>
    <t>DEBT REPAYMENT</t>
  </si>
  <si>
    <t>Offering</t>
  </si>
  <si>
    <t xml:space="preserve">Credit Card </t>
  </si>
  <si>
    <t>Student Loan</t>
  </si>
  <si>
    <t>Car</t>
  </si>
  <si>
    <t>Total Savings</t>
  </si>
  <si>
    <t>Total Tithings</t>
  </si>
  <si>
    <t>Painting Job</t>
  </si>
  <si>
    <t>Chick Fil A</t>
  </si>
  <si>
    <t>Meijers</t>
  </si>
  <si>
    <t>Starbucks</t>
  </si>
  <si>
    <t>Amazon</t>
  </si>
  <si>
    <t>Dinner Date</t>
  </si>
  <si>
    <t>Gas @ Meijer</t>
  </si>
  <si>
    <t>NOTES</t>
  </si>
  <si>
    <t>Total Debt Repayment</t>
  </si>
  <si>
    <t>Roth Contributions</t>
  </si>
  <si>
    <t>Uber Downtown</t>
  </si>
  <si>
    <t>Ucellos</t>
  </si>
  <si>
    <t>Spotify</t>
  </si>
  <si>
    <t>Disney Plus</t>
  </si>
  <si>
    <t>Winter Jam</t>
  </si>
  <si>
    <t>Offering at Church</t>
  </si>
  <si>
    <t xml:space="preserve">McDonalds Coffee </t>
  </si>
  <si>
    <t>Star Wars Movie</t>
  </si>
  <si>
    <t xml:space="preserve">Aldi </t>
  </si>
  <si>
    <t>TJ Maxx</t>
  </si>
  <si>
    <t>Food for the hungry</t>
  </si>
  <si>
    <t>Shoes</t>
  </si>
  <si>
    <t>Acorns Contribution</t>
  </si>
  <si>
    <t>Books - Renting amazon</t>
  </si>
  <si>
    <t>Tithing</t>
  </si>
  <si>
    <t>INDULGENCE EXPENSES</t>
  </si>
  <si>
    <t>Month 1 Acount Balances</t>
  </si>
  <si>
    <t>Remaining</t>
  </si>
  <si>
    <t>Budgeted</t>
  </si>
  <si>
    <t>Monthly Payment</t>
  </si>
  <si>
    <t>Remaining Goal Balance</t>
  </si>
  <si>
    <t>Months until completion</t>
  </si>
  <si>
    <t>Month</t>
  </si>
  <si>
    <t xml:space="preserve">Montly Savings </t>
  </si>
  <si>
    <t>+10%</t>
  </si>
  <si>
    <t>Stayed under budget. Good month!!</t>
  </si>
  <si>
    <t>Rate</t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</si>
  <si>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Prioritize your goals based on attention, importance, and time frame</t>
    </r>
  </si>
  <si>
    <r>
      <rPr>
        <b/>
        <sz val="11"/>
        <color theme="1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>See how your savings can grow or how long a goal you are saving for will take in the Savings Goal tab</t>
    </r>
  </si>
  <si>
    <r>
      <rPr>
        <b/>
        <sz val="11"/>
        <color theme="1"/>
        <rFont val="Calibri"/>
        <family val="2"/>
        <scheme val="minor"/>
      </rPr>
      <t>4.</t>
    </r>
    <r>
      <rPr>
        <sz val="11"/>
        <color theme="1"/>
        <rFont val="Calibri"/>
        <family val="2"/>
        <scheme val="minor"/>
      </rPr>
      <t xml:space="preserve"> Create a budget based on those categories that you think is feasible and is geared toward the goals you have set for yourself</t>
    </r>
  </si>
  <si>
    <r>
      <rPr>
        <b/>
        <sz val="11"/>
        <color theme="1"/>
        <rFont val="Calibri"/>
        <family val="2"/>
        <scheme val="minor"/>
      </rPr>
      <t>5.</t>
    </r>
    <r>
      <rPr>
        <sz val="11"/>
        <color theme="1"/>
        <rFont val="Calibri"/>
        <family val="2"/>
        <scheme val="minor"/>
      </rPr>
      <t xml:space="preserve"> Track your expenses over the course of the month and input them into the expense tracking table</t>
    </r>
  </si>
  <si>
    <r>
      <t xml:space="preserve">6. </t>
    </r>
    <r>
      <rPr>
        <sz val="11"/>
        <color theme="1"/>
        <rFont val="Calibri"/>
        <family val="2"/>
        <scheme val="minor"/>
      </rPr>
      <t>The expenses will automatically fill in and the chart will give you a visual overview of your progress</t>
    </r>
  </si>
  <si>
    <r>
      <t>7.</t>
    </r>
    <r>
      <rPr>
        <sz val="11"/>
        <color theme="1"/>
        <rFont val="Calibri"/>
        <family val="2"/>
        <scheme val="minor"/>
      </rPr>
      <t xml:space="preserve"> Revisit your goals at the top of each month and input the actual results to compare and set new goals for the next month</t>
    </r>
  </si>
  <si>
    <t>Month 2 Acount Balances</t>
  </si>
  <si>
    <t>Month 2 Goals</t>
  </si>
  <si>
    <t>Month 2 Results</t>
  </si>
  <si>
    <t>Month 2 Budget</t>
  </si>
  <si>
    <t>Month 2 Expense Tracking</t>
  </si>
  <si>
    <t>Total Month 3 Expenses</t>
  </si>
  <si>
    <t>Month 3 Expense Tracking</t>
  </si>
  <si>
    <t>Month 3 Budget</t>
  </si>
  <si>
    <t>Month 3 Goals</t>
  </si>
  <si>
    <t>Month 3 Results</t>
  </si>
  <si>
    <t>Month 3 Acount Balances</t>
  </si>
  <si>
    <t>Total Month 2 Expenses</t>
  </si>
  <si>
    <t>Month 4 Acount Balances</t>
  </si>
  <si>
    <t>Month 4 Goals</t>
  </si>
  <si>
    <t>Month 4 Results</t>
  </si>
  <si>
    <t>Month 4 Budget</t>
  </si>
  <si>
    <t>Month 4 Expense Tracking</t>
  </si>
  <si>
    <t>Total Month 4 Expenses</t>
  </si>
  <si>
    <t>Sample Month Acount Balances</t>
  </si>
  <si>
    <t>Sample Month Goals</t>
  </si>
  <si>
    <t>Sample Month Results</t>
  </si>
  <si>
    <t>Sample Month Budget</t>
  </si>
  <si>
    <t>Sample Month Expense Tracking</t>
  </si>
  <si>
    <t>Total Sample Month Expenses</t>
  </si>
  <si>
    <t>Month 5 Acount Balances</t>
  </si>
  <si>
    <t>Month 5 Goals</t>
  </si>
  <si>
    <t>Month 5 Results</t>
  </si>
  <si>
    <t>Month 5 Budget</t>
  </si>
  <si>
    <t>Total Month 5 Expenses</t>
  </si>
  <si>
    <t>Month 6 Acount Balances</t>
  </si>
  <si>
    <t>Month 6 Goals</t>
  </si>
  <si>
    <t>Month 6 Results</t>
  </si>
  <si>
    <t>Month 6 Budget</t>
  </si>
  <si>
    <t>Total Month 6 Expenses</t>
  </si>
  <si>
    <t>Month 7 Acount Balances</t>
  </si>
  <si>
    <t>Month 7 Goals</t>
  </si>
  <si>
    <t>Month 7 Results</t>
  </si>
  <si>
    <t>Month 7 Budget</t>
  </si>
  <si>
    <t>Month 7 Expense Tracking</t>
  </si>
  <si>
    <t>Total Month 7 Expenses</t>
  </si>
  <si>
    <t>Month 8 Acount Balances</t>
  </si>
  <si>
    <t>Month 8 Goals</t>
  </si>
  <si>
    <t>Month 8 Results</t>
  </si>
  <si>
    <t>Month 8 Budget</t>
  </si>
  <si>
    <t>Month 8 Expense Tracking</t>
  </si>
  <si>
    <t>Total Month 8 Expenses</t>
  </si>
  <si>
    <t>Month 9 Acount Balances</t>
  </si>
  <si>
    <t>Month 9 Goals</t>
  </si>
  <si>
    <t>Month 9 Results</t>
  </si>
  <si>
    <t>Month 9 Budget</t>
  </si>
  <si>
    <t>Month 9 Expense Tracking</t>
  </si>
  <si>
    <t>Total Month 9 Expenses</t>
  </si>
  <si>
    <t>Month 10 Acount Balances</t>
  </si>
  <si>
    <t>Month 10 Goals</t>
  </si>
  <si>
    <t>Month 10 Results</t>
  </si>
  <si>
    <t>Month 10 Budget</t>
  </si>
  <si>
    <t>Month 10 Expense Tracking</t>
  </si>
  <si>
    <t>Total Month 10 Expenses</t>
  </si>
  <si>
    <t>Month 11 Acount Balances</t>
  </si>
  <si>
    <t>Month 11 Goals</t>
  </si>
  <si>
    <t>Month 11 Results</t>
  </si>
  <si>
    <t>Month 11 Budget</t>
  </si>
  <si>
    <t>Month 11 Expense Tracking</t>
  </si>
  <si>
    <t>Total Month 11 Expenses</t>
  </si>
  <si>
    <t>Month 12 Acount Balances</t>
  </si>
  <si>
    <t>Month 12 Goals</t>
  </si>
  <si>
    <t>Month 12 Results</t>
  </si>
  <si>
    <t>Month 12 Budget</t>
  </si>
  <si>
    <t>Month 12 Expense Tracking</t>
  </si>
  <si>
    <t>Total Month 12 Expenses</t>
  </si>
  <si>
    <t>Savings/Payment Table 1</t>
  </si>
  <si>
    <t>Savings/Payment Table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</si>
</sst>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000_);_(&quot;$&quot;* \(#,##0.0000\);_(&quot;$&quot;* &quot;-&quot;??_);_(@_)"/>
    <numFmt numFmtId="166" formatCode="0.0%"/>
    <numFmt numFmtId="167" formatCode="&quot;$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11"/>
      <color rgb="FFFF717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theme="8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3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0" fillId="4" borderId="0" xfId="0" applyFill="1" applyBorder="1"/>
    <xf numFmtId="0" fontId="0" fillId="3" borderId="13" xfId="0" applyFill="1" applyBorder="1"/>
    <xf numFmtId="0" fontId="0" fillId="3" borderId="14" xfId="0" applyFill="1" applyBorder="1"/>
    <xf numFmtId="0" fontId="3" fillId="3" borderId="16" xfId="0" applyFont="1" applyFill="1" applyBorder="1"/>
    <xf numFmtId="0" fontId="3" fillId="3" borderId="17" xfId="0" applyFont="1" applyFill="1" applyBorder="1"/>
    <xf numFmtId="0" fontId="0" fillId="0" borderId="0" xfId="0" applyBorder="1"/>
    <xf numFmtId="0" fontId="0" fillId="5" borderId="17" xfId="0" applyFill="1" applyBorder="1"/>
    <xf numFmtId="44" fontId="4" fillId="5" borderId="24" xfId="1" applyFont="1" applyFill="1" applyBorder="1"/>
    <xf numFmtId="44" fontId="0" fillId="0" borderId="0" xfId="1" applyFont="1" applyBorder="1"/>
    <xf numFmtId="0" fontId="6" fillId="5" borderId="16" xfId="0" applyFont="1" applyFill="1" applyBorder="1"/>
    <xf numFmtId="0" fontId="0" fillId="2" borderId="1" xfId="0" applyFill="1" applyBorder="1" applyAlignment="1">
      <alignment horizontal="right"/>
    </xf>
    <xf numFmtId="0" fontId="0" fillId="2" borderId="23" xfId="0" applyFill="1" applyBorder="1" applyAlignment="1">
      <alignment horizontal="right"/>
    </xf>
    <xf numFmtId="164" fontId="0" fillId="2" borderId="0" xfId="1" applyNumberFormat="1" applyFont="1" applyFill="1" applyBorder="1"/>
    <xf numFmtId="0" fontId="0" fillId="2" borderId="36" xfId="0" applyFill="1" applyBorder="1"/>
    <xf numFmtId="0" fontId="0" fillId="2" borderId="0" xfId="0" applyFill="1"/>
    <xf numFmtId="164" fontId="5" fillId="2" borderId="0" xfId="1" applyNumberFormat="1" applyFont="1" applyFill="1" applyBorder="1"/>
    <xf numFmtId="164" fontId="5" fillId="2" borderId="28" xfId="0" applyNumberFormat="1" applyFont="1" applyFill="1" applyBorder="1"/>
    <xf numFmtId="14" fontId="0" fillId="0" borderId="0" xfId="0" applyNumberFormat="1" applyBorder="1" applyAlignment="1">
      <alignment horizontal="left"/>
    </xf>
    <xf numFmtId="0" fontId="0" fillId="6" borderId="0" xfId="0" applyFill="1" applyBorder="1"/>
    <xf numFmtId="0" fontId="0" fillId="6" borderId="21" xfId="0" applyFill="1" applyBorder="1"/>
    <xf numFmtId="0" fontId="0" fillId="6" borderId="22" xfId="0" applyFill="1" applyBorder="1"/>
    <xf numFmtId="0" fontId="0" fillId="6" borderId="13" xfId="0" applyFill="1" applyBorder="1"/>
    <xf numFmtId="0" fontId="0" fillId="6" borderId="28" xfId="0" applyFill="1" applyBorder="1"/>
    <xf numFmtId="0" fontId="3" fillId="6" borderId="14" xfId="0" applyFont="1" applyFill="1" applyBorder="1"/>
    <xf numFmtId="0" fontId="0" fillId="6" borderId="13" xfId="0" applyFont="1" applyFill="1" applyBorder="1"/>
    <xf numFmtId="0" fontId="3" fillId="6" borderId="13" xfId="0" applyFont="1" applyFill="1" applyBorder="1"/>
    <xf numFmtId="0" fontId="0" fillId="6" borderId="16" xfId="0" applyFill="1" applyBorder="1"/>
    <xf numFmtId="0" fontId="0" fillId="6" borderId="17" xfId="0" applyFill="1" applyBorder="1"/>
    <xf numFmtId="0" fontId="0" fillId="6" borderId="24" xfId="0" applyFill="1" applyBorder="1"/>
    <xf numFmtId="164" fontId="3" fillId="2" borderId="32" xfId="1" applyNumberFormat="1" applyFont="1" applyFill="1" applyBorder="1"/>
    <xf numFmtId="164" fontId="3" fillId="2" borderId="33" xfId="1" applyNumberFormat="1" applyFont="1" applyFill="1" applyBorder="1"/>
    <xf numFmtId="164" fontId="3" fillId="2" borderId="29" xfId="1" applyNumberFormat="1" applyFont="1" applyFill="1" applyBorder="1"/>
    <xf numFmtId="164" fontId="3" fillId="0" borderId="29" xfId="1" applyNumberFormat="1" applyFont="1" applyBorder="1"/>
    <xf numFmtId="165" fontId="3" fillId="0" borderId="34" xfId="1" applyNumberFormat="1" applyFont="1" applyBorder="1"/>
    <xf numFmtId="0" fontId="0" fillId="2" borderId="0" xfId="0" applyFont="1" applyFill="1"/>
    <xf numFmtId="0" fontId="12" fillId="6" borderId="0" xfId="0" applyFont="1" applyFill="1" applyBorder="1" applyAlignment="1">
      <alignment horizontal="right"/>
    </xf>
    <xf numFmtId="0" fontId="12" fillId="6" borderId="0" xfId="0" applyFont="1" applyFill="1" applyBorder="1" applyAlignment="1">
      <alignment horizontal="center"/>
    </xf>
    <xf numFmtId="0" fontId="13" fillId="6" borderId="0" xfId="0" applyFont="1" applyFill="1" applyBorder="1"/>
    <xf numFmtId="0" fontId="0" fillId="0" borderId="0" xfId="0" applyFill="1"/>
    <xf numFmtId="0" fontId="0" fillId="4" borderId="0" xfId="0" applyFill="1" applyBorder="1" applyAlignment="1"/>
    <xf numFmtId="164" fontId="3" fillId="2" borderId="0" xfId="1" applyNumberFormat="1" applyFont="1" applyFill="1" applyBorder="1"/>
    <xf numFmtId="0" fontId="2" fillId="4" borderId="0" xfId="0" applyFont="1" applyFill="1" applyBorder="1"/>
    <xf numFmtId="0" fontId="0" fillId="4" borderId="13" xfId="0" applyFill="1" applyBorder="1"/>
    <xf numFmtId="0" fontId="0" fillId="4" borderId="13" xfId="0" applyFill="1" applyBorder="1" applyAlignment="1">
      <alignment horizontal="left" indent="1"/>
    </xf>
    <xf numFmtId="0" fontId="0" fillId="4" borderId="13" xfId="0" applyFont="1" applyFill="1" applyBorder="1"/>
    <xf numFmtId="0" fontId="10" fillId="4" borderId="13" xfId="0" applyFont="1" applyFill="1" applyBorder="1"/>
    <xf numFmtId="0" fontId="0" fillId="4" borderId="27" xfId="0" applyFill="1" applyBorder="1"/>
    <xf numFmtId="0" fontId="11" fillId="4" borderId="13" xfId="0" applyFont="1" applyFill="1" applyBorder="1"/>
    <xf numFmtId="0" fontId="6" fillId="4" borderId="25" xfId="0" applyFont="1" applyFill="1" applyBorder="1"/>
    <xf numFmtId="0" fontId="11" fillId="2" borderId="0" xfId="0" applyFont="1" applyFill="1"/>
    <xf numFmtId="0" fontId="11" fillId="2" borderId="0" xfId="0" applyFont="1" applyFill="1" applyBorder="1"/>
    <xf numFmtId="0" fontId="11" fillId="0" borderId="0" xfId="0" applyFont="1"/>
    <xf numFmtId="0" fontId="0" fillId="3" borderId="28" xfId="0" applyFill="1" applyBorder="1"/>
    <xf numFmtId="0" fontId="0" fillId="3" borderId="23" xfId="0" applyFill="1" applyBorder="1"/>
    <xf numFmtId="44" fontId="5" fillId="3" borderId="24" xfId="1" applyFont="1" applyFill="1" applyBorder="1"/>
    <xf numFmtId="0" fontId="0" fillId="3" borderId="17" xfId="0" applyFill="1" applyBorder="1"/>
    <xf numFmtId="0" fontId="0" fillId="2" borderId="25" xfId="0" applyFill="1" applyBorder="1"/>
    <xf numFmtId="0" fontId="0" fillId="2" borderId="27" xfId="0" applyFill="1" applyBorder="1"/>
    <xf numFmtId="0" fontId="0" fillId="2" borderId="26" xfId="0" applyFill="1" applyBorder="1"/>
    <xf numFmtId="44" fontId="0" fillId="3" borderId="28" xfId="1" applyNumberFormat="1" applyFont="1" applyFill="1" applyBorder="1"/>
    <xf numFmtId="0" fontId="6" fillId="3" borderId="25" xfId="0" applyFont="1" applyFill="1" applyBorder="1"/>
    <xf numFmtId="0" fontId="3" fillId="3" borderId="27" xfId="0" applyFont="1" applyFill="1" applyBorder="1"/>
    <xf numFmtId="0" fontId="0" fillId="3" borderId="27" xfId="0" applyFill="1" applyBorder="1"/>
    <xf numFmtId="0" fontId="0" fillId="3" borderId="26" xfId="0" applyFill="1" applyBorder="1"/>
    <xf numFmtId="0" fontId="11" fillId="4" borderId="20" xfId="0" applyFont="1" applyFill="1" applyBorder="1"/>
    <xf numFmtId="0" fontId="6" fillId="8" borderId="38" xfId="0" applyFont="1" applyFill="1" applyBorder="1"/>
    <xf numFmtId="0" fontId="0" fillId="8" borderId="39" xfId="0" applyFill="1" applyBorder="1"/>
    <xf numFmtId="44" fontId="15" fillId="8" borderId="41" xfId="0" applyNumberFormat="1" applyFont="1" applyFill="1" applyBorder="1"/>
    <xf numFmtId="0" fontId="0" fillId="4" borderId="0" xfId="0" applyFill="1"/>
    <xf numFmtId="166" fontId="11" fillId="4" borderId="21" xfId="2" applyNumberFormat="1" applyFont="1" applyFill="1" applyBorder="1"/>
    <xf numFmtId="166" fontId="11" fillId="4" borderId="0" xfId="2" applyNumberFormat="1" applyFont="1" applyFill="1" applyBorder="1" applyAlignment="1"/>
    <xf numFmtId="44" fontId="0" fillId="4" borderId="0" xfId="1" applyFont="1" applyFill="1" applyBorder="1" applyAlignment="1"/>
    <xf numFmtId="0" fontId="0" fillId="0" borderId="0" xfId="0"/>
    <xf numFmtId="0" fontId="0" fillId="0" borderId="0" xfId="0" applyBorder="1"/>
    <xf numFmtId="44" fontId="0" fillId="0" borderId="0" xfId="1" applyFont="1" applyBorder="1"/>
    <xf numFmtId="0" fontId="0" fillId="2" borderId="0" xfId="0" applyFill="1"/>
    <xf numFmtId="14" fontId="0" fillId="0" borderId="0" xfId="0" applyNumberFormat="1" applyBorder="1" applyAlignment="1">
      <alignment horizontal="left"/>
    </xf>
    <xf numFmtId="0" fontId="0" fillId="4" borderId="0" xfId="0" applyFill="1" applyBorder="1" applyAlignment="1"/>
    <xf numFmtId="0" fontId="0" fillId="4" borderId="13" xfId="0" applyFill="1" applyBorder="1"/>
    <xf numFmtId="0" fontId="0" fillId="4" borderId="17" xfId="0" applyFill="1" applyBorder="1"/>
    <xf numFmtId="0" fontId="3" fillId="4" borderId="30" xfId="0" applyFont="1" applyFill="1" applyBorder="1"/>
    <xf numFmtId="0" fontId="0" fillId="8" borderId="39" xfId="0" applyFill="1" applyBorder="1"/>
    <xf numFmtId="44" fontId="15" fillId="8" borderId="41" xfId="0" applyNumberFormat="1" applyFont="1" applyFill="1" applyBorder="1"/>
    <xf numFmtId="44" fontId="0" fillId="2" borderId="0" xfId="0" applyNumberFormat="1" applyFill="1"/>
    <xf numFmtId="0" fontId="11" fillId="8" borderId="39" xfId="0" applyFont="1" applyFill="1" applyBorder="1" applyAlignment="1">
      <alignment horizontal="left"/>
    </xf>
    <xf numFmtId="0" fontId="11" fillId="8" borderId="39" xfId="1" applyNumberFormat="1" applyFont="1" applyFill="1" applyBorder="1" applyAlignment="1">
      <alignment horizontal="left"/>
    </xf>
    <xf numFmtId="0" fontId="0" fillId="4" borderId="21" xfId="0" applyFill="1" applyBorder="1"/>
    <xf numFmtId="44" fontId="4" fillId="4" borderId="31" xfId="0" applyNumberFormat="1" applyFont="1" applyFill="1" applyBorder="1"/>
    <xf numFmtId="44" fontId="0" fillId="8" borderId="42" xfId="1" applyNumberFormat="1" applyFont="1" applyFill="1" applyBorder="1"/>
    <xf numFmtId="44" fontId="3" fillId="4" borderId="1" xfId="1" applyFont="1" applyFill="1" applyBorder="1"/>
    <xf numFmtId="44" fontId="14" fillId="4" borderId="1" xfId="1" applyFont="1" applyFill="1" applyBorder="1"/>
    <xf numFmtId="44" fontId="3" fillId="4" borderId="1" xfId="1" applyFont="1" applyFill="1" applyBorder="1" applyAlignment="1"/>
    <xf numFmtId="167" fontId="3" fillId="2" borderId="32" xfId="1" applyNumberFormat="1" applyFont="1" applyFill="1" applyBorder="1" applyAlignment="1">
      <alignment horizontal="center"/>
    </xf>
    <xf numFmtId="167" fontId="3" fillId="2" borderId="33" xfId="1" applyNumberFormat="1" applyFont="1" applyFill="1" applyBorder="1" applyAlignment="1">
      <alignment horizontal="center"/>
    </xf>
    <xf numFmtId="167" fontId="3" fillId="2" borderId="29" xfId="1" applyNumberFormat="1" applyFont="1" applyFill="1" applyBorder="1" applyAlignment="1">
      <alignment horizontal="center"/>
    </xf>
    <xf numFmtId="167" fontId="3" fillId="0" borderId="29" xfId="1" applyNumberFormat="1" applyFont="1" applyBorder="1" applyAlignment="1">
      <alignment horizontal="center"/>
    </xf>
    <xf numFmtId="167" fontId="3" fillId="0" borderId="34" xfId="1" applyNumberFormat="1" applyFont="1" applyBorder="1" applyAlignment="1">
      <alignment horizontal="center"/>
    </xf>
    <xf numFmtId="0" fontId="0" fillId="7" borderId="13" xfId="0" applyFill="1" applyBorder="1"/>
    <xf numFmtId="0" fontId="0" fillId="7" borderId="0" xfId="0" applyFill="1" applyBorder="1" applyAlignment="1"/>
    <xf numFmtId="0" fontId="0" fillId="7" borderId="28" xfId="0" applyFill="1" applyBorder="1"/>
    <xf numFmtId="0" fontId="11" fillId="7" borderId="13" xfId="0" applyFont="1" applyFill="1" applyBorder="1"/>
    <xf numFmtId="166" fontId="11" fillId="7" borderId="0" xfId="2" applyNumberFormat="1" applyFont="1" applyFill="1" applyBorder="1" applyAlignment="1"/>
    <xf numFmtId="0" fontId="0" fillId="7" borderId="13" xfId="0" applyFont="1" applyFill="1" applyBorder="1"/>
    <xf numFmtId="44" fontId="3" fillId="7" borderId="1" xfId="1" applyFont="1" applyFill="1" applyBorder="1" applyAlignment="1"/>
    <xf numFmtId="0" fontId="0" fillId="7" borderId="13" xfId="0" applyFont="1" applyFill="1" applyBorder="1" applyAlignment="1">
      <alignment horizontal="left" indent="1"/>
    </xf>
    <xf numFmtId="0" fontId="11" fillId="7" borderId="0" xfId="0" applyFont="1" applyFill="1" applyBorder="1" applyAlignment="1"/>
    <xf numFmtId="0" fontId="11" fillId="7" borderId="28" xfId="0" applyFont="1" applyFill="1" applyBorder="1"/>
    <xf numFmtId="0" fontId="0" fillId="7" borderId="13" xfId="0" applyFill="1" applyBorder="1" applyAlignment="1">
      <alignment horizontal="left" indent="1"/>
    </xf>
    <xf numFmtId="0" fontId="11" fillId="7" borderId="13" xfId="0" applyFont="1" applyFill="1" applyBorder="1" applyAlignment="1">
      <alignment horizontal="left"/>
    </xf>
    <xf numFmtId="0" fontId="0" fillId="7" borderId="13" xfId="0" applyFont="1" applyFill="1" applyBorder="1" applyAlignment="1">
      <alignment horizontal="left"/>
    </xf>
    <xf numFmtId="0" fontId="3" fillId="7" borderId="30" xfId="0" applyFont="1" applyFill="1" applyBorder="1"/>
    <xf numFmtId="0" fontId="0" fillId="7" borderId="17" xfId="0" applyFill="1" applyBorder="1"/>
    <xf numFmtId="44" fontId="16" fillId="7" borderId="40" xfId="0" applyNumberFormat="1" applyFont="1" applyFill="1" applyBorder="1"/>
    <xf numFmtId="0" fontId="0" fillId="4" borderId="0" xfId="0" applyFill="1" applyBorder="1" applyAlignment="1"/>
    <xf numFmtId="0" fontId="5" fillId="9" borderId="12" xfId="0" applyFont="1" applyFill="1" applyBorder="1"/>
    <xf numFmtId="44" fontId="8" fillId="9" borderId="4" xfId="1" applyFont="1" applyFill="1" applyBorder="1"/>
    <xf numFmtId="44" fontId="8" fillId="9" borderId="28" xfId="0" applyNumberFormat="1" applyFont="1" applyFill="1" applyBorder="1" applyProtection="1"/>
    <xf numFmtId="0" fontId="16" fillId="9" borderId="13" xfId="0" applyFont="1" applyFill="1" applyBorder="1"/>
    <xf numFmtId="44" fontId="17" fillId="9" borderId="0" xfId="1" applyFont="1" applyFill="1" applyBorder="1"/>
    <xf numFmtId="44" fontId="17" fillId="9" borderId="28" xfId="1" applyFont="1" applyFill="1" applyBorder="1" applyProtection="1"/>
    <xf numFmtId="0" fontId="3" fillId="9" borderId="13" xfId="0" applyFont="1" applyFill="1" applyBorder="1"/>
    <xf numFmtId="44" fontId="0" fillId="9" borderId="6" xfId="0" applyNumberFormat="1" applyFill="1" applyBorder="1"/>
    <xf numFmtId="44" fontId="0" fillId="9" borderId="28" xfId="0" applyNumberFormat="1" applyFill="1" applyBorder="1" applyProtection="1"/>
    <xf numFmtId="0" fontId="14" fillId="9" borderId="14" xfId="0" applyFont="1" applyFill="1" applyBorder="1"/>
    <xf numFmtId="44" fontId="10" fillId="9" borderId="8" xfId="1" applyFont="1" applyFill="1" applyBorder="1"/>
    <xf numFmtId="44" fontId="0" fillId="9" borderId="23" xfId="1" applyFont="1" applyFill="1" applyBorder="1" applyProtection="1"/>
    <xf numFmtId="0" fontId="14" fillId="9" borderId="13" xfId="0" applyFont="1" applyFill="1" applyBorder="1"/>
    <xf numFmtId="44" fontId="10" fillId="9" borderId="0" xfId="1" applyFont="1" applyFill="1" applyBorder="1"/>
    <xf numFmtId="0" fontId="14" fillId="9" borderId="5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left"/>
    </xf>
    <xf numFmtId="44" fontId="0" fillId="9" borderId="28" xfId="1" applyFont="1" applyFill="1" applyBorder="1" applyProtection="1"/>
    <xf numFmtId="0" fontId="4" fillId="9" borderId="14" xfId="0" applyFont="1" applyFill="1" applyBorder="1"/>
    <xf numFmtId="44" fontId="2" fillId="9" borderId="1" xfId="1" applyFont="1" applyFill="1" applyBorder="1"/>
    <xf numFmtId="44" fontId="2" fillId="9" borderId="23" xfId="0" applyNumberFormat="1" applyFont="1" applyFill="1" applyBorder="1" applyProtection="1"/>
    <xf numFmtId="0" fontId="15" fillId="9" borderId="16" xfId="0" applyFont="1" applyFill="1" applyBorder="1"/>
    <xf numFmtId="44" fontId="9" fillId="9" borderId="18" xfId="1" applyFont="1" applyFill="1" applyBorder="1"/>
    <xf numFmtId="44" fontId="9" fillId="9" borderId="24" xfId="1" applyFont="1" applyFill="1" applyBorder="1" applyProtection="1"/>
    <xf numFmtId="0" fontId="3" fillId="9" borderId="36" xfId="0" applyFont="1" applyFill="1" applyBorder="1" applyAlignment="1">
      <alignment horizontal="center"/>
    </xf>
    <xf numFmtId="0" fontId="3" fillId="9" borderId="37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3" fillId="9" borderId="15" xfId="0" applyFont="1" applyFill="1" applyBorder="1" applyAlignment="1">
      <alignment horizontal="center"/>
    </xf>
    <xf numFmtId="0" fontId="0" fillId="9" borderId="13" xfId="0" applyFill="1" applyBorder="1"/>
    <xf numFmtId="0" fontId="11" fillId="9" borderId="20" xfId="0" applyFont="1" applyFill="1" applyBorder="1"/>
    <xf numFmtId="0" fontId="0" fillId="9" borderId="21" xfId="0" applyFill="1" applyBorder="1"/>
    <xf numFmtId="0" fontId="0" fillId="9" borderId="22" xfId="0" applyFill="1" applyBorder="1"/>
    <xf numFmtId="0" fontId="11" fillId="9" borderId="13" xfId="0" applyFont="1" applyFill="1" applyBorder="1"/>
    <xf numFmtId="0" fontId="0" fillId="9" borderId="0" xfId="0" applyFill="1" applyBorder="1"/>
    <xf numFmtId="0" fontId="0" fillId="9" borderId="28" xfId="0" applyFill="1" applyBorder="1"/>
    <xf numFmtId="0" fontId="11" fillId="9" borderId="0" xfId="0" applyFont="1" applyFill="1" applyBorder="1"/>
    <xf numFmtId="0" fontId="11" fillId="9" borderId="28" xfId="0" applyFont="1" applyFill="1" applyBorder="1"/>
    <xf numFmtId="0" fontId="0" fillId="9" borderId="16" xfId="0" applyFill="1" applyBorder="1"/>
    <xf numFmtId="0" fontId="0" fillId="9" borderId="17" xfId="0" applyFill="1" applyBorder="1"/>
    <xf numFmtId="0" fontId="0" fillId="9" borderId="24" xfId="0" applyFill="1" applyBorder="1"/>
    <xf numFmtId="0" fontId="3" fillId="9" borderId="13" xfId="1" applyNumberFormat="1" applyFont="1" applyFill="1" applyBorder="1" applyAlignment="1">
      <alignment horizontal="left"/>
    </xf>
    <xf numFmtId="164" fontId="0" fillId="9" borderId="0" xfId="1" applyNumberFormat="1" applyFont="1" applyFill="1" applyBorder="1"/>
    <xf numFmtId="164" fontId="0" fillId="9" borderId="16" xfId="1" applyNumberFormat="1" applyFont="1" applyFill="1" applyBorder="1"/>
    <xf numFmtId="164" fontId="0" fillId="9" borderId="17" xfId="1" applyNumberFormat="1" applyFont="1" applyFill="1" applyBorder="1"/>
    <xf numFmtId="164" fontId="15" fillId="2" borderId="17" xfId="1" applyNumberFormat="1" applyFont="1" applyFill="1" applyBorder="1"/>
    <xf numFmtId="164" fontId="18" fillId="2" borderId="7" xfId="1" applyNumberFormat="1" applyFont="1" applyFill="1" applyBorder="1"/>
    <xf numFmtId="164" fontId="18" fillId="2" borderId="1" xfId="1" applyNumberFormat="1" applyFont="1" applyFill="1" applyBorder="1"/>
    <xf numFmtId="164" fontId="18" fillId="2" borderId="23" xfId="0" applyNumberFormat="1" applyFont="1" applyFill="1" applyBorder="1"/>
    <xf numFmtId="164" fontId="0" fillId="2" borderId="43" xfId="1" applyNumberFormat="1" applyFont="1" applyFill="1" applyBorder="1"/>
    <xf numFmtId="0" fontId="0" fillId="2" borderId="43" xfId="0" applyFill="1" applyBorder="1"/>
    <xf numFmtId="9" fontId="0" fillId="2" borderId="43" xfId="2" applyFont="1" applyFill="1" applyBorder="1"/>
    <xf numFmtId="0" fontId="0" fillId="9" borderId="13" xfId="0" applyFill="1" applyBorder="1" applyAlignment="1">
      <alignment horizontal="left"/>
    </xf>
    <xf numFmtId="0" fontId="0" fillId="9" borderId="0" xfId="0" applyFill="1" applyBorder="1" applyAlignment="1">
      <alignment horizontal="left"/>
    </xf>
    <xf numFmtId="8" fontId="3" fillId="9" borderId="24" xfId="0" applyNumberFormat="1" applyFont="1" applyFill="1" applyBorder="1"/>
    <xf numFmtId="0" fontId="0" fillId="9" borderId="13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164" fontId="0" fillId="2" borderId="44" xfId="1" applyNumberFormat="1" applyFont="1" applyFill="1" applyBorder="1"/>
    <xf numFmtId="0" fontId="3" fillId="10" borderId="20" xfId="0" applyFont="1" applyFill="1" applyBorder="1" applyAlignment="1">
      <alignment horizontal="center"/>
    </xf>
    <xf numFmtId="0" fontId="3" fillId="10" borderId="22" xfId="0" applyFont="1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9" fontId="3" fillId="10" borderId="42" xfId="0" applyNumberFormat="1" applyFont="1" applyFill="1" applyBorder="1" applyAlignment="1">
      <alignment horizontal="center"/>
    </xf>
    <xf numFmtId="164" fontId="0" fillId="11" borderId="0" xfId="1" applyNumberFormat="1" applyFont="1" applyFill="1" applyBorder="1" applyAlignment="1">
      <alignment horizontal="center"/>
    </xf>
    <xf numFmtId="164" fontId="0" fillId="12" borderId="21" xfId="1" applyNumberFormat="1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0" fillId="12" borderId="17" xfId="1" applyNumberFormat="1" applyFont="1" applyFill="1" applyBorder="1" applyAlignment="1">
      <alignment horizontal="center"/>
    </xf>
    <xf numFmtId="9" fontId="3" fillId="10" borderId="22" xfId="0" quotePrefix="1" applyNumberFormat="1" applyFont="1" applyFill="1" applyBorder="1" applyAlignment="1">
      <alignment horizontal="center"/>
    </xf>
    <xf numFmtId="164" fontId="0" fillId="11" borderId="21" xfId="1" applyNumberFormat="1" applyFont="1" applyFill="1" applyBorder="1" applyAlignment="1">
      <alignment horizontal="center"/>
    </xf>
    <xf numFmtId="164" fontId="0" fillId="3" borderId="22" xfId="1" applyNumberFormat="1" applyFont="1" applyFill="1" applyBorder="1" applyAlignment="1">
      <alignment horizontal="center"/>
    </xf>
    <xf numFmtId="164" fontId="0" fillId="3" borderId="28" xfId="1" applyNumberFormat="1" applyFont="1" applyFill="1" applyBorder="1" applyAlignment="1">
      <alignment horizontal="center"/>
    </xf>
    <xf numFmtId="164" fontId="0" fillId="11" borderId="17" xfId="1" applyNumberFormat="1" applyFont="1" applyFill="1" applyBorder="1" applyAlignment="1">
      <alignment horizontal="center"/>
    </xf>
    <xf numFmtId="164" fontId="0" fillId="3" borderId="24" xfId="1" applyNumberFormat="1" applyFont="1" applyFill="1" applyBorder="1" applyAlignment="1">
      <alignment horizontal="center"/>
    </xf>
    <xf numFmtId="0" fontId="0" fillId="9" borderId="13" xfId="0" applyFill="1" applyBorder="1" applyAlignment="1">
      <alignment horizontal="left"/>
    </xf>
    <xf numFmtId="0" fontId="0" fillId="9" borderId="0" xfId="0" applyFill="1" applyBorder="1" applyAlignment="1">
      <alignment horizontal="left"/>
    </xf>
    <xf numFmtId="8" fontId="0" fillId="2" borderId="0" xfId="0" applyNumberFormat="1" applyFill="1"/>
    <xf numFmtId="0" fontId="0" fillId="9" borderId="13" xfId="0" applyFont="1" applyFill="1" applyBorder="1"/>
    <xf numFmtId="164" fontId="15" fillId="2" borderId="24" xfId="1" applyNumberFormat="1" applyFont="1" applyFill="1" applyBorder="1"/>
    <xf numFmtId="0" fontId="5" fillId="2" borderId="35" xfId="0" applyFont="1" applyFill="1" applyBorder="1"/>
    <xf numFmtId="0" fontId="18" fillId="2" borderId="35" xfId="0" applyFont="1" applyFill="1" applyBorder="1"/>
    <xf numFmtId="0" fontId="15" fillId="2" borderId="32" xfId="0" applyFont="1" applyFill="1" applyBorder="1"/>
    <xf numFmtId="0" fontId="0" fillId="9" borderId="20" xfId="0" applyFill="1" applyBorder="1"/>
    <xf numFmtId="166" fontId="0" fillId="9" borderId="22" xfId="0" applyNumberFormat="1" applyFill="1" applyBorder="1"/>
    <xf numFmtId="166" fontId="0" fillId="9" borderId="28" xfId="0" applyNumberFormat="1" applyFill="1" applyBorder="1"/>
    <xf numFmtId="166" fontId="0" fillId="9" borderId="24" xfId="0" applyNumberFormat="1" applyFill="1" applyBorder="1"/>
    <xf numFmtId="0" fontId="3" fillId="5" borderId="25" xfId="0" applyFont="1" applyFill="1" applyBorder="1" applyAlignment="1">
      <alignment horizontal="center"/>
    </xf>
    <xf numFmtId="0" fontId="3" fillId="5" borderId="27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164" fontId="3" fillId="5" borderId="25" xfId="1" applyNumberFormat="1" applyFont="1" applyFill="1" applyBorder="1" applyAlignment="1">
      <alignment horizontal="center"/>
    </xf>
    <xf numFmtId="164" fontId="3" fillId="5" borderId="27" xfId="1" applyNumberFormat="1" applyFont="1" applyFill="1" applyBorder="1" applyAlignment="1">
      <alignment horizontal="center"/>
    </xf>
    <xf numFmtId="164" fontId="3" fillId="5" borderId="26" xfId="1" applyNumberFormat="1" applyFont="1" applyFill="1" applyBorder="1" applyAlignment="1">
      <alignment horizontal="center"/>
    </xf>
    <xf numFmtId="0" fontId="0" fillId="9" borderId="13" xfId="0" applyFill="1" applyBorder="1" applyAlignment="1">
      <alignment horizontal="left"/>
    </xf>
    <xf numFmtId="0" fontId="0" fillId="9" borderId="0" xfId="0" applyFill="1" applyBorder="1" applyAlignment="1">
      <alignment horizontal="left"/>
    </xf>
    <xf numFmtId="0" fontId="0" fillId="9" borderId="16" xfId="0" applyFill="1" applyBorder="1" applyAlignment="1">
      <alignment horizontal="left"/>
    </xf>
    <xf numFmtId="0" fontId="0" fillId="9" borderId="17" xfId="0" applyFill="1" applyBorder="1" applyAlignment="1">
      <alignment horizontal="left"/>
    </xf>
    <xf numFmtId="0" fontId="6" fillId="10" borderId="25" xfId="0" applyFont="1" applyFill="1" applyBorder="1" applyAlignment="1">
      <alignment horizontal="center"/>
    </xf>
    <xf numFmtId="0" fontId="6" fillId="10" borderId="27" xfId="0" applyFont="1" applyFill="1" applyBorder="1" applyAlignment="1">
      <alignment horizontal="center"/>
    </xf>
    <xf numFmtId="0" fontId="6" fillId="10" borderId="26" xfId="0" applyFont="1" applyFill="1" applyBorder="1" applyAlignment="1">
      <alignment horizontal="center"/>
    </xf>
    <xf numFmtId="0" fontId="3" fillId="10" borderId="25" xfId="0" applyFont="1" applyFill="1" applyBorder="1" applyAlignment="1">
      <alignment horizontal="left"/>
    </xf>
    <xf numFmtId="0" fontId="3" fillId="10" borderId="27" xfId="0" applyFont="1" applyFill="1" applyBorder="1" applyAlignment="1">
      <alignment horizontal="left"/>
    </xf>
    <xf numFmtId="0" fontId="7" fillId="5" borderId="25" xfId="0" applyFont="1" applyFill="1" applyBorder="1" applyAlignment="1">
      <alignment horizontal="center"/>
    </xf>
    <xf numFmtId="0" fontId="7" fillId="5" borderId="27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left"/>
    </xf>
    <xf numFmtId="0" fontId="7" fillId="5" borderId="22" xfId="0" applyFont="1" applyFill="1" applyBorder="1" applyAlignment="1">
      <alignment horizontal="left"/>
    </xf>
    <xf numFmtId="0" fontId="7" fillId="5" borderId="9" xfId="0" applyFont="1" applyFill="1" applyBorder="1" applyAlignment="1">
      <alignment horizontal="left"/>
    </xf>
    <xf numFmtId="0" fontId="7" fillId="5" borderId="10" xfId="0" applyFont="1" applyFill="1" applyBorder="1" applyAlignment="1">
      <alignment horizontal="left"/>
    </xf>
    <xf numFmtId="0" fontId="7" fillId="5" borderId="11" xfId="0" applyFont="1" applyFill="1" applyBorder="1" applyAlignment="1">
      <alignment horizontal="left"/>
    </xf>
    <xf numFmtId="0" fontId="5" fillId="9" borderId="2" xfId="0" applyFont="1" applyFill="1" applyBorder="1" applyAlignment="1">
      <alignment horizontal="left"/>
    </xf>
    <xf numFmtId="0" fontId="5" fillId="9" borderId="3" xfId="0" applyFont="1" applyFill="1" applyBorder="1" applyAlignment="1">
      <alignment horizontal="left"/>
    </xf>
    <xf numFmtId="0" fontId="4" fillId="9" borderId="7" xfId="0" applyFont="1" applyFill="1" applyBorder="1" applyAlignment="1">
      <alignment horizontal="left"/>
    </xf>
    <xf numFmtId="0" fontId="4" fillId="9" borderId="1" xfId="0" applyFont="1" applyFill="1" applyBorder="1" applyAlignment="1">
      <alignment horizontal="left"/>
    </xf>
    <xf numFmtId="0" fontId="15" fillId="9" borderId="19" xfId="0" applyFont="1" applyFill="1" applyBorder="1" applyAlignment="1">
      <alignment horizontal="left"/>
    </xf>
    <xf numFmtId="0" fontId="15" fillId="9" borderId="17" xfId="0" applyFont="1" applyFill="1" applyBorder="1" applyAlignment="1">
      <alignment horizontal="left"/>
    </xf>
    <xf numFmtId="0" fontId="16" fillId="9" borderId="5" xfId="0" applyFont="1" applyFill="1" applyBorder="1" applyAlignment="1">
      <alignment horizontal="left"/>
    </xf>
    <xf numFmtId="0" fontId="16" fillId="9" borderId="0" xfId="0" applyFont="1" applyFill="1" applyBorder="1" applyAlignment="1">
      <alignment horizontal="left"/>
    </xf>
    <xf numFmtId="0" fontId="14" fillId="9" borderId="7" xfId="0" applyFont="1" applyFill="1" applyBorder="1" applyAlignment="1">
      <alignment horizontal="left"/>
    </xf>
    <xf numFmtId="0" fontId="14" fillId="9" borderId="1" xfId="0" applyFont="1" applyFill="1" applyBorder="1" applyAlignment="1">
      <alignment horizontal="left"/>
    </xf>
    <xf numFmtId="0" fontId="3" fillId="9" borderId="0" xfId="0" applyFont="1" applyFill="1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28"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dxf>
    <dxf>
      <alignment horizontal="left" vertical="bottom" textRotation="0" wrapText="0" indent="0" justifyLastLine="0" shrinkToFit="0" readingOrder="0"/>
    </dxf>
    <dxf>
      <border outline="0">
        <left style="medium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colors>
    <mruColors>
      <color rgb="FFFF7171"/>
      <color rgb="FFF5FBAB"/>
      <color rgb="FFEBDBFD"/>
      <color rgb="FFDBBDFB"/>
      <color rgb="FFCDA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Annual Cash Flow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Overview!$B$16</c:f>
              <c:strCache>
                <c:ptCount val="1"/>
                <c:pt idx="0">
                  <c:v>Income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Overview!$C$16:$N$16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26-49D8-9C2E-32E3DD18E566}"/>
            </c:ext>
          </c:extLst>
        </c:ser>
        <c:ser>
          <c:idx val="1"/>
          <c:order val="1"/>
          <c:tx>
            <c:strRef>
              <c:f>Overview!$B$17</c:f>
              <c:strCache>
                <c:ptCount val="1"/>
                <c:pt idx="0">
                  <c:v>Expense</c:v>
                </c:pt>
              </c:strCache>
            </c:strRef>
          </c:tx>
          <c:spPr>
            <a:ln w="28575" cap="rnd">
              <a:solidFill>
                <a:srgbClr val="FF717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7171"/>
              </a:solidFill>
              <a:ln w="9525">
                <a:noFill/>
              </a:ln>
              <a:effectLst/>
            </c:spPr>
          </c:marker>
          <c:val>
            <c:numRef>
              <c:f>Overview!$C$17:$N$17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26-49D8-9C2E-32E3DD18E566}"/>
            </c:ext>
          </c:extLst>
        </c:ser>
        <c:ser>
          <c:idx val="2"/>
          <c:order val="2"/>
          <c:tx>
            <c:strRef>
              <c:f>Overview!$B$18</c:f>
              <c:strCache>
                <c:ptCount val="1"/>
                <c:pt idx="0">
                  <c:v>Net Income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noFill/>
              </a:ln>
              <a:effectLst/>
            </c:spPr>
          </c:marker>
          <c:val>
            <c:numRef>
              <c:f>Overview!$C$18:$N$18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26-49D8-9C2E-32E3DD18E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371544"/>
        <c:axId val="404371872"/>
      </c:lineChart>
      <c:catAx>
        <c:axId val="40437154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371872"/>
        <c:crosses val="autoZero"/>
        <c:auto val="1"/>
        <c:lblAlgn val="ctr"/>
        <c:lblOffset val="100"/>
        <c:noMultiLvlLbl val="0"/>
      </c:catAx>
      <c:valAx>
        <c:axId val="40437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40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371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20000"/>
        <a:lumOff val="80000"/>
      </a:schemeClr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90D-451C-ABD8-BEF6859A24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90D-451C-ABD8-BEF6859A24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90D-451C-ABD8-BEF6859A24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90D-451C-ABD8-BEF6859A24C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90D-451C-ABD8-BEF6859A24C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90D-451C-ABD8-BEF6859A24C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90D-451C-ABD8-BEF6859A24C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90D-451C-ABD8-BEF6859A24C2}"/>
                </c:ext>
              </c:extLst>
            </c:dLbl>
            <c:dLbl>
              <c:idx val="3"/>
              <c:layout>
                <c:manualLayout>
                  <c:x val="-7.4999999999999997E-2"/>
                  <c:y val="1.85185185185185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0D-451C-ABD8-BEF6859A24C2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290D-451C-ABD8-BEF6859A24C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'Month 3'!$B$84:$B$88</c:f>
              <c:strCache>
                <c:ptCount val="5"/>
                <c:pt idx="0">
                  <c:v>LIVING EXPENSES</c:v>
                </c:pt>
                <c:pt idx="1">
                  <c:v>INDULGENCE EXPENSES</c:v>
                </c:pt>
                <c:pt idx="2">
                  <c:v>SAVINGS</c:v>
                </c:pt>
                <c:pt idx="3">
                  <c:v>TITHINGS</c:v>
                </c:pt>
                <c:pt idx="4">
                  <c:v>DEBT REPAYMENT</c:v>
                </c:pt>
              </c:strCache>
            </c:strRef>
          </c:cat>
          <c:val>
            <c:numRef>
              <c:f>'Month 3'!$C$84:$C$88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90D-451C-ABD8-BEF6859A24C2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</a:rPr>
              <a:t>Cash</a:t>
            </a:r>
            <a:r>
              <a:rPr lang="es-MX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</a:rPr>
              <a:t> Flow Chart</a:t>
            </a:r>
            <a:endParaRPr lang="es-MX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0"/>
                  </a:prstClr>
                </a:outerShdw>
              </a:effectLst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701-4F1C-ABC3-0548E2441692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701-4F1C-ABC3-0548E2441692}"/>
              </c:ext>
            </c:extLst>
          </c:dPt>
          <c:dPt>
            <c:idx val="2"/>
            <c:invertIfNegative val="0"/>
            <c:bubble3D val="0"/>
            <c:spPr>
              <a:solidFill>
                <a:srgbClr val="FF717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701-4F1C-ABC3-0548E2441692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701-4F1C-ABC3-0548E24416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'Month 4'!$D$7:$D$13</c15:sqref>
                  </c15:fullRef>
                </c:ext>
              </c:extLst>
              <c:f>('Month 4'!$D$7,'Month 4'!$D$11:$D$13)</c:f>
              <c:strCache>
                <c:ptCount val="4"/>
                <c:pt idx="0">
                  <c:v>Income</c:v>
                </c:pt>
                <c:pt idx="1">
                  <c:v>Budgeted</c:v>
                </c:pt>
                <c:pt idx="2">
                  <c:v>Expenses</c:v>
                </c:pt>
                <c:pt idx="3">
                  <c:v>Remaining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'Month 4'!$F$7:$F$13</c15:sqref>
                  </c15:fullRef>
                </c:ext>
              </c:extLst>
              <c:f>('Month 4'!$F$7,'Month 4'!$F$11:$F$13)</c:f>
              <c:numCache>
                <c:formatCode>_("$"* #,##0.00_);_("$"* \(#,##0.00\);_("$"*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'Month 4'!$F$9</c15:sqref>
                  <c15:spPr xmlns:c15="http://schemas.microsoft.com/office/drawing/2012/chart">
                    <a:solidFill>
                      <a:schemeClr val="accent5">
                        <a:lumMod val="60000"/>
                        <a:lumOff val="40000"/>
                      </a:schemeClr>
                    </a:soli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8-7701-4F1C-ABC3-0548E244169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75077000"/>
        <c:axId val="475079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'Month 4'!$D$7:$D$13</c15:sqref>
                        </c15:fullRef>
                        <c15:formulaRef>
                          <c15:sqref>('Month 4'!$D$7,'Month 4'!$D$11:$D$13)</c15:sqref>
                        </c15:formulaRef>
                      </c:ext>
                    </c:extLst>
                    <c:strCache>
                      <c:ptCount val="4"/>
                      <c:pt idx="0">
                        <c:v>Income</c:v>
                      </c:pt>
                      <c:pt idx="1">
                        <c:v>Budgeted</c:v>
                      </c:pt>
                      <c:pt idx="2">
                        <c:v>Expenses</c:v>
                      </c:pt>
                      <c:pt idx="3">
                        <c:v>Remaining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'Month 4'!$E$7:$E$13</c15:sqref>
                        </c15:fullRef>
                        <c15:formulaRef>
                          <c15:sqref>('Month 4'!$E$7,'Month 4'!$E$11:$E$13)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7701-4F1C-ABC3-0548E2441692}"/>
                  </c:ext>
                </c:extLst>
              </c15:ser>
            </c15:filteredBarSeries>
          </c:ext>
        </c:extLst>
      </c:barChart>
      <c:catAx>
        <c:axId val="475077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079624"/>
        <c:crosses val="autoZero"/>
        <c:auto val="1"/>
        <c:lblAlgn val="ctr"/>
        <c:lblOffset val="100"/>
        <c:noMultiLvlLbl val="0"/>
      </c:catAx>
      <c:valAx>
        <c:axId val="47507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52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077000"/>
        <c:crosses val="autoZero"/>
        <c:crossBetween val="between"/>
      </c:valAx>
      <c:spPr>
        <a:solidFill>
          <a:schemeClr val="bg2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15875">
      <a:solidFill>
        <a:schemeClr val="tx1"/>
      </a:solidFill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270-492E-8FD5-B020295832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270-492E-8FD5-B020295832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270-492E-8FD5-B020295832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270-492E-8FD5-B020295832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270-492E-8FD5-B0202958325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270-492E-8FD5-B0202958325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270-492E-8FD5-B0202958325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270-492E-8FD5-B02029583257}"/>
                </c:ext>
              </c:extLst>
            </c:dLbl>
            <c:dLbl>
              <c:idx val="3"/>
              <c:layout>
                <c:manualLayout>
                  <c:x val="-7.4999999999999997E-2"/>
                  <c:y val="1.85185185185185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70-492E-8FD5-B02029583257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3270-492E-8FD5-B0202958325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'Month 4'!$B$84:$B$88</c:f>
              <c:strCache>
                <c:ptCount val="5"/>
                <c:pt idx="0">
                  <c:v>LIVING EXPENSES</c:v>
                </c:pt>
                <c:pt idx="1">
                  <c:v>INDULGENCE EXPENSES</c:v>
                </c:pt>
                <c:pt idx="2">
                  <c:v>SAVINGS</c:v>
                </c:pt>
                <c:pt idx="3">
                  <c:v>TITHINGS</c:v>
                </c:pt>
                <c:pt idx="4">
                  <c:v>DEBT REPAYMENT</c:v>
                </c:pt>
              </c:strCache>
            </c:strRef>
          </c:cat>
          <c:val>
            <c:numRef>
              <c:f>'Month 4'!$C$84:$C$88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70-492E-8FD5-B0202958325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</a:rPr>
              <a:t>Cash</a:t>
            </a:r>
            <a:r>
              <a:rPr lang="es-MX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</a:rPr>
              <a:t> Flow Chart</a:t>
            </a:r>
            <a:endParaRPr lang="es-MX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0"/>
                  </a:prstClr>
                </a:outerShdw>
              </a:effectLst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8D6-4707-92DF-9D4059D27921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8D6-4707-92DF-9D4059D27921}"/>
              </c:ext>
            </c:extLst>
          </c:dPt>
          <c:dPt>
            <c:idx val="2"/>
            <c:invertIfNegative val="0"/>
            <c:bubble3D val="0"/>
            <c:spPr>
              <a:solidFill>
                <a:srgbClr val="FF717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8D6-4707-92DF-9D4059D27921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8D6-4707-92DF-9D4059D279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'Month 5'!$D$7:$D$13</c15:sqref>
                  </c15:fullRef>
                </c:ext>
              </c:extLst>
              <c:f>('Month 5'!$D$7,'Month 5'!$D$11:$D$13)</c:f>
              <c:strCache>
                <c:ptCount val="4"/>
                <c:pt idx="0">
                  <c:v>Income</c:v>
                </c:pt>
                <c:pt idx="1">
                  <c:v>Budgeted</c:v>
                </c:pt>
                <c:pt idx="2">
                  <c:v>Expenses</c:v>
                </c:pt>
                <c:pt idx="3">
                  <c:v>Remaining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'Month 5'!$F$7:$F$13</c15:sqref>
                  </c15:fullRef>
                </c:ext>
              </c:extLst>
              <c:f>('Month 5'!$F$7,'Month 5'!$F$11:$F$13)</c:f>
              <c:numCache>
                <c:formatCode>_("$"* #,##0.00_);_("$"* \(#,##0.00\);_("$"*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'Month 5'!$F$9</c15:sqref>
                  <c15:spPr xmlns:c15="http://schemas.microsoft.com/office/drawing/2012/chart">
                    <a:solidFill>
                      <a:schemeClr val="accent5">
                        <a:lumMod val="60000"/>
                        <a:lumOff val="40000"/>
                      </a:schemeClr>
                    </a:soli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8-C8D6-4707-92DF-9D4059D2792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75077000"/>
        <c:axId val="475079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'Month 5'!$D$7:$D$13</c15:sqref>
                        </c15:fullRef>
                        <c15:formulaRef>
                          <c15:sqref>('Month 5'!$D$7,'Month 5'!$D$11:$D$13)</c15:sqref>
                        </c15:formulaRef>
                      </c:ext>
                    </c:extLst>
                    <c:strCache>
                      <c:ptCount val="4"/>
                      <c:pt idx="0">
                        <c:v>Income</c:v>
                      </c:pt>
                      <c:pt idx="1">
                        <c:v>Budgeted</c:v>
                      </c:pt>
                      <c:pt idx="2">
                        <c:v>Expenses</c:v>
                      </c:pt>
                      <c:pt idx="3">
                        <c:v>Remaining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'Month 5'!$E$7:$E$13</c15:sqref>
                        </c15:fullRef>
                        <c15:formulaRef>
                          <c15:sqref>('Month 5'!$E$7,'Month 5'!$E$11:$E$13)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C8D6-4707-92DF-9D4059D27921}"/>
                  </c:ext>
                </c:extLst>
              </c15:ser>
            </c15:filteredBarSeries>
          </c:ext>
        </c:extLst>
      </c:barChart>
      <c:catAx>
        <c:axId val="475077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079624"/>
        <c:crosses val="autoZero"/>
        <c:auto val="1"/>
        <c:lblAlgn val="ctr"/>
        <c:lblOffset val="100"/>
        <c:noMultiLvlLbl val="0"/>
      </c:catAx>
      <c:valAx>
        <c:axId val="47507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52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077000"/>
        <c:crosses val="autoZero"/>
        <c:crossBetween val="between"/>
      </c:valAx>
      <c:spPr>
        <a:solidFill>
          <a:schemeClr val="bg2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15875">
      <a:solidFill>
        <a:schemeClr val="tx1"/>
      </a:solidFill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3BC-4C4A-9BE3-19FC3E53F4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3BC-4C4A-9BE3-19FC3E53F4F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3BC-4C4A-9BE3-19FC3E53F4F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3BC-4C4A-9BE3-19FC3E53F4F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3BC-4C4A-9BE3-19FC3E53F4F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3BC-4C4A-9BE3-19FC3E53F4F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3BC-4C4A-9BE3-19FC3E53F4F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3BC-4C4A-9BE3-19FC3E53F4F6}"/>
                </c:ext>
              </c:extLst>
            </c:dLbl>
            <c:dLbl>
              <c:idx val="3"/>
              <c:layout>
                <c:manualLayout>
                  <c:x val="-7.4999999999999997E-2"/>
                  <c:y val="1.85185185185185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BC-4C4A-9BE3-19FC3E53F4F6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43BC-4C4A-9BE3-19FC3E53F4F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'Month 5'!$B$84:$B$88</c:f>
              <c:strCache>
                <c:ptCount val="5"/>
                <c:pt idx="0">
                  <c:v>LIVING EXPENSES</c:v>
                </c:pt>
                <c:pt idx="1">
                  <c:v>INDULGENCE EXPENSES</c:v>
                </c:pt>
                <c:pt idx="2">
                  <c:v>SAVINGS</c:v>
                </c:pt>
                <c:pt idx="3">
                  <c:v>TITHINGS</c:v>
                </c:pt>
                <c:pt idx="4">
                  <c:v>DEBT REPAYMENT</c:v>
                </c:pt>
              </c:strCache>
            </c:strRef>
          </c:cat>
          <c:val>
            <c:numRef>
              <c:f>'Month 5'!$C$84:$C$88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BC-4C4A-9BE3-19FC3E53F4F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</a:rPr>
              <a:t>Cash</a:t>
            </a:r>
            <a:r>
              <a:rPr lang="es-MX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</a:rPr>
              <a:t> Flow Chart</a:t>
            </a:r>
            <a:endParaRPr lang="es-MX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0"/>
                  </a:prstClr>
                </a:outerShdw>
              </a:effectLst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34D-4D41-9696-C24A6C871DCA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34D-4D41-9696-C24A6C871DCA}"/>
              </c:ext>
            </c:extLst>
          </c:dPt>
          <c:dPt>
            <c:idx val="2"/>
            <c:invertIfNegative val="0"/>
            <c:bubble3D val="0"/>
            <c:spPr>
              <a:solidFill>
                <a:srgbClr val="FF717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34D-4D41-9696-C24A6C871DCA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34D-4D41-9696-C24A6C871D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'Month 6'!$D$7:$D$13</c15:sqref>
                  </c15:fullRef>
                </c:ext>
              </c:extLst>
              <c:f>('Month 6'!$D$7,'Month 6'!$D$11:$D$13)</c:f>
              <c:strCache>
                <c:ptCount val="4"/>
                <c:pt idx="0">
                  <c:v>Income</c:v>
                </c:pt>
                <c:pt idx="1">
                  <c:v>Budgeted</c:v>
                </c:pt>
                <c:pt idx="2">
                  <c:v>Expenses</c:v>
                </c:pt>
                <c:pt idx="3">
                  <c:v>Remaining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'Month 6'!$F$7:$F$13</c15:sqref>
                  </c15:fullRef>
                </c:ext>
              </c:extLst>
              <c:f>('Month 6'!$F$7,'Month 6'!$F$11:$F$13)</c:f>
              <c:numCache>
                <c:formatCode>_("$"* #,##0.00_);_("$"* \(#,##0.00\);_("$"*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'Month 6'!$F$9</c15:sqref>
                  <c15:spPr xmlns:c15="http://schemas.microsoft.com/office/drawing/2012/chart">
                    <a:solidFill>
                      <a:schemeClr val="accent5">
                        <a:lumMod val="60000"/>
                        <a:lumOff val="40000"/>
                      </a:schemeClr>
                    </a:soli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8-D34D-4D41-9696-C24A6C871DC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75077000"/>
        <c:axId val="475079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'Month 6'!$D$7:$D$13</c15:sqref>
                        </c15:fullRef>
                        <c15:formulaRef>
                          <c15:sqref>('Month 6'!$D$7,'Month 6'!$D$11:$D$13)</c15:sqref>
                        </c15:formulaRef>
                      </c:ext>
                    </c:extLst>
                    <c:strCache>
                      <c:ptCount val="4"/>
                      <c:pt idx="0">
                        <c:v>Income</c:v>
                      </c:pt>
                      <c:pt idx="1">
                        <c:v>Budgeted</c:v>
                      </c:pt>
                      <c:pt idx="2">
                        <c:v>Expenses</c:v>
                      </c:pt>
                      <c:pt idx="3">
                        <c:v>Remaining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'Month 6'!$E$7:$E$13</c15:sqref>
                        </c15:fullRef>
                        <c15:formulaRef>
                          <c15:sqref>('Month 6'!$E$7,'Month 6'!$E$11:$E$13)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D34D-4D41-9696-C24A6C871DCA}"/>
                  </c:ext>
                </c:extLst>
              </c15:ser>
            </c15:filteredBarSeries>
          </c:ext>
        </c:extLst>
      </c:barChart>
      <c:catAx>
        <c:axId val="475077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079624"/>
        <c:crosses val="autoZero"/>
        <c:auto val="1"/>
        <c:lblAlgn val="ctr"/>
        <c:lblOffset val="100"/>
        <c:noMultiLvlLbl val="0"/>
      </c:catAx>
      <c:valAx>
        <c:axId val="47507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52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077000"/>
        <c:crosses val="autoZero"/>
        <c:crossBetween val="between"/>
      </c:valAx>
      <c:spPr>
        <a:solidFill>
          <a:schemeClr val="bg2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15875">
      <a:solidFill>
        <a:schemeClr val="tx1"/>
      </a:solidFill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9A6-4DB9-A7DC-BA8A20233B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9A6-4DB9-A7DC-BA8A20233B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9A6-4DB9-A7DC-BA8A20233BA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9A6-4DB9-A7DC-BA8A20233BA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9A6-4DB9-A7DC-BA8A20233BA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9A6-4DB9-A7DC-BA8A20233BA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9A6-4DB9-A7DC-BA8A20233BA5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9A6-4DB9-A7DC-BA8A20233BA5}"/>
                </c:ext>
              </c:extLst>
            </c:dLbl>
            <c:dLbl>
              <c:idx val="3"/>
              <c:layout>
                <c:manualLayout>
                  <c:x val="-7.4999999999999997E-2"/>
                  <c:y val="1.85185185185185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A6-4DB9-A7DC-BA8A20233BA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49A6-4DB9-A7DC-BA8A20233BA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'Month 6'!$B$84:$B$88</c:f>
              <c:strCache>
                <c:ptCount val="5"/>
                <c:pt idx="0">
                  <c:v>LIVING EXPENSES</c:v>
                </c:pt>
                <c:pt idx="1">
                  <c:v>INDULGENCE EXPENSES</c:v>
                </c:pt>
                <c:pt idx="2">
                  <c:v>SAVINGS</c:v>
                </c:pt>
                <c:pt idx="3">
                  <c:v>TITHINGS</c:v>
                </c:pt>
                <c:pt idx="4">
                  <c:v>DEBT REPAYMENT</c:v>
                </c:pt>
              </c:strCache>
            </c:strRef>
          </c:cat>
          <c:val>
            <c:numRef>
              <c:f>'Month 6'!$C$84:$C$88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A6-4DB9-A7DC-BA8A20233BA5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</a:rPr>
              <a:t>Cash</a:t>
            </a:r>
            <a:r>
              <a:rPr lang="es-MX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</a:rPr>
              <a:t> Flow Chart</a:t>
            </a:r>
            <a:endParaRPr lang="es-MX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0"/>
                  </a:prstClr>
                </a:outerShdw>
              </a:effectLst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87-4BAC-851A-AB318A30856F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87-4BAC-851A-AB318A30856F}"/>
              </c:ext>
            </c:extLst>
          </c:dPt>
          <c:dPt>
            <c:idx val="2"/>
            <c:invertIfNegative val="0"/>
            <c:bubble3D val="0"/>
            <c:spPr>
              <a:solidFill>
                <a:srgbClr val="FF717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87-4BAC-851A-AB318A30856F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87-4BAC-851A-AB318A3085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'Month 7'!$D$7:$D$13</c15:sqref>
                  </c15:fullRef>
                </c:ext>
              </c:extLst>
              <c:f>('Month 7'!$D$7,'Month 7'!$D$11:$D$13)</c:f>
              <c:strCache>
                <c:ptCount val="4"/>
                <c:pt idx="0">
                  <c:v>Income</c:v>
                </c:pt>
                <c:pt idx="1">
                  <c:v>Budgeted</c:v>
                </c:pt>
                <c:pt idx="2">
                  <c:v>Expenses</c:v>
                </c:pt>
                <c:pt idx="3">
                  <c:v>Remaining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'Month 7'!$F$7:$F$13</c15:sqref>
                  </c15:fullRef>
                </c:ext>
              </c:extLst>
              <c:f>('Month 7'!$F$7,'Month 7'!$F$11:$F$13)</c:f>
              <c:numCache>
                <c:formatCode>_("$"* #,##0.00_);_("$"* \(#,##0.00\);_("$"*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'Month 7'!$F$9</c15:sqref>
                  <c15:spPr xmlns:c15="http://schemas.microsoft.com/office/drawing/2012/chart">
                    <a:solidFill>
                      <a:schemeClr val="accent5">
                        <a:lumMod val="60000"/>
                        <a:lumOff val="40000"/>
                      </a:schemeClr>
                    </a:soli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8-1987-4BAC-851A-AB318A30856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75077000"/>
        <c:axId val="475079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'Month 7'!$D$7:$D$13</c15:sqref>
                        </c15:fullRef>
                        <c15:formulaRef>
                          <c15:sqref>('Month 7'!$D$7,'Month 7'!$D$11:$D$13)</c15:sqref>
                        </c15:formulaRef>
                      </c:ext>
                    </c:extLst>
                    <c:strCache>
                      <c:ptCount val="4"/>
                      <c:pt idx="0">
                        <c:v>Income</c:v>
                      </c:pt>
                      <c:pt idx="1">
                        <c:v>Budgeted</c:v>
                      </c:pt>
                      <c:pt idx="2">
                        <c:v>Expenses</c:v>
                      </c:pt>
                      <c:pt idx="3">
                        <c:v>Remaining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'Month 7'!$E$7:$E$13</c15:sqref>
                        </c15:fullRef>
                        <c15:formulaRef>
                          <c15:sqref>('Month 7'!$E$7,'Month 7'!$E$11:$E$13)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1987-4BAC-851A-AB318A30856F}"/>
                  </c:ext>
                </c:extLst>
              </c15:ser>
            </c15:filteredBarSeries>
          </c:ext>
        </c:extLst>
      </c:barChart>
      <c:catAx>
        <c:axId val="475077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079624"/>
        <c:crosses val="autoZero"/>
        <c:auto val="1"/>
        <c:lblAlgn val="ctr"/>
        <c:lblOffset val="100"/>
        <c:noMultiLvlLbl val="0"/>
      </c:catAx>
      <c:valAx>
        <c:axId val="47507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52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077000"/>
        <c:crosses val="autoZero"/>
        <c:crossBetween val="between"/>
      </c:valAx>
      <c:spPr>
        <a:solidFill>
          <a:schemeClr val="bg2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15875">
      <a:solidFill>
        <a:schemeClr val="tx1"/>
      </a:solidFill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547-45EF-A5EB-AE0AFDDA5A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547-45EF-A5EB-AE0AFDDA5A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547-45EF-A5EB-AE0AFDDA5A1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547-45EF-A5EB-AE0AFDDA5A1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547-45EF-A5EB-AE0AFDDA5A1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547-45EF-A5EB-AE0AFDDA5A1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547-45EF-A5EB-AE0AFDDA5A1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547-45EF-A5EB-AE0AFDDA5A14}"/>
                </c:ext>
              </c:extLst>
            </c:dLbl>
            <c:dLbl>
              <c:idx val="3"/>
              <c:layout>
                <c:manualLayout>
                  <c:x val="-7.4999999999999997E-2"/>
                  <c:y val="1.85185185185185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47-45EF-A5EB-AE0AFDDA5A14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B547-45EF-A5EB-AE0AFDDA5A1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'Month 7'!$B$84:$B$88</c:f>
              <c:strCache>
                <c:ptCount val="5"/>
                <c:pt idx="0">
                  <c:v>LIVING EXPENSES</c:v>
                </c:pt>
                <c:pt idx="1">
                  <c:v>INDULGENCE EXPENSES</c:v>
                </c:pt>
                <c:pt idx="2">
                  <c:v>SAVINGS</c:v>
                </c:pt>
                <c:pt idx="3">
                  <c:v>TITHINGS</c:v>
                </c:pt>
                <c:pt idx="4">
                  <c:v>DEBT REPAYMENT</c:v>
                </c:pt>
              </c:strCache>
            </c:strRef>
          </c:cat>
          <c:val>
            <c:numRef>
              <c:f>'Month 7'!$C$84:$C$88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47-45EF-A5EB-AE0AFDDA5A14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</a:rPr>
              <a:t>Cash</a:t>
            </a:r>
            <a:r>
              <a:rPr lang="es-MX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</a:rPr>
              <a:t> Flow Chart</a:t>
            </a:r>
            <a:endParaRPr lang="es-MX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0"/>
                  </a:prstClr>
                </a:outerShdw>
              </a:effectLst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505-4C9E-BFFE-E49D93DB126A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505-4C9E-BFFE-E49D93DB126A}"/>
              </c:ext>
            </c:extLst>
          </c:dPt>
          <c:dPt>
            <c:idx val="2"/>
            <c:invertIfNegative val="0"/>
            <c:bubble3D val="0"/>
            <c:spPr>
              <a:solidFill>
                <a:srgbClr val="FF717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505-4C9E-BFFE-E49D93DB126A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505-4C9E-BFFE-E49D93DB12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'Month 8'!$D$7:$D$13</c15:sqref>
                  </c15:fullRef>
                </c:ext>
              </c:extLst>
              <c:f>('Month 8'!$D$7,'Month 8'!$D$11:$D$13)</c:f>
              <c:strCache>
                <c:ptCount val="4"/>
                <c:pt idx="0">
                  <c:v>Income</c:v>
                </c:pt>
                <c:pt idx="1">
                  <c:v>Budgeted</c:v>
                </c:pt>
                <c:pt idx="2">
                  <c:v>Expenses</c:v>
                </c:pt>
                <c:pt idx="3">
                  <c:v>Remaining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'Month 8'!$F$7:$F$13</c15:sqref>
                  </c15:fullRef>
                </c:ext>
              </c:extLst>
              <c:f>('Month 8'!$F$7,'Month 8'!$F$11:$F$13)</c:f>
              <c:numCache>
                <c:formatCode>_("$"* #,##0.00_);_("$"* \(#,##0.00\);_("$"*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'Month 8'!$F$9</c15:sqref>
                  <c15:spPr xmlns:c15="http://schemas.microsoft.com/office/drawing/2012/chart">
                    <a:solidFill>
                      <a:schemeClr val="accent5">
                        <a:lumMod val="60000"/>
                        <a:lumOff val="40000"/>
                      </a:schemeClr>
                    </a:soli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8-6505-4C9E-BFFE-E49D93DB126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75077000"/>
        <c:axId val="475079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'Month 8'!$D$7:$D$13</c15:sqref>
                        </c15:fullRef>
                        <c15:formulaRef>
                          <c15:sqref>('Month 8'!$D$7,'Month 8'!$D$11:$D$13)</c15:sqref>
                        </c15:formulaRef>
                      </c:ext>
                    </c:extLst>
                    <c:strCache>
                      <c:ptCount val="4"/>
                      <c:pt idx="0">
                        <c:v>Income</c:v>
                      </c:pt>
                      <c:pt idx="1">
                        <c:v>Budgeted</c:v>
                      </c:pt>
                      <c:pt idx="2">
                        <c:v>Expenses</c:v>
                      </c:pt>
                      <c:pt idx="3">
                        <c:v>Remaining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'Month 8'!$E$7:$E$13</c15:sqref>
                        </c15:fullRef>
                        <c15:formulaRef>
                          <c15:sqref>('Month 8'!$E$7,'Month 8'!$E$11:$E$13)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6505-4C9E-BFFE-E49D93DB126A}"/>
                  </c:ext>
                </c:extLst>
              </c15:ser>
            </c15:filteredBarSeries>
          </c:ext>
        </c:extLst>
      </c:barChart>
      <c:catAx>
        <c:axId val="475077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079624"/>
        <c:crosses val="autoZero"/>
        <c:auto val="1"/>
        <c:lblAlgn val="ctr"/>
        <c:lblOffset val="100"/>
        <c:noMultiLvlLbl val="0"/>
      </c:catAx>
      <c:valAx>
        <c:axId val="47507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52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077000"/>
        <c:crosses val="autoZero"/>
        <c:crossBetween val="between"/>
      </c:valAx>
      <c:spPr>
        <a:solidFill>
          <a:schemeClr val="bg2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15875">
      <a:solidFill>
        <a:schemeClr val="tx1"/>
      </a:solidFill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Savings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336807899012626"/>
          <c:y val="0.22926027262656618"/>
          <c:w val="0.72096787901512316"/>
          <c:h val="0.55060424462695445"/>
        </c:manualLayout>
      </c:layout>
      <c:lineChart>
        <c:grouping val="standard"/>
        <c:varyColors val="0"/>
        <c:ser>
          <c:idx val="1"/>
          <c:order val="1"/>
          <c:tx>
            <c:strRef>
              <c:f>'Savings Goal'!$H$2</c:f>
              <c:strCache>
                <c:ptCount val="1"/>
                <c:pt idx="0">
                  <c:v>-10%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3</c:v>
              </c:pt>
              <c:pt idx="1">
                <c:v>6</c:v>
              </c:pt>
              <c:pt idx="2">
                <c:v>9</c:v>
              </c:pt>
              <c:pt idx="3">
                <c:v>12</c:v>
              </c:pt>
              <c:pt idx="4">
                <c:v>15</c:v>
              </c:pt>
              <c:pt idx="5">
                <c:v>18</c:v>
              </c:pt>
              <c:pt idx="6">
                <c:v>21</c:v>
              </c:pt>
              <c:pt idx="7">
                <c:v>24</c:v>
              </c:pt>
              <c:pt idx="8">
                <c:v>27</c:v>
              </c:pt>
              <c:pt idx="9">
                <c:v>30</c:v>
              </c:pt>
              <c:pt idx="10">
                <c:v>33</c:v>
              </c:pt>
              <c:pt idx="11">
                <c:v>36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'Savings Goal'!$H$3:$H$38</c15:sqref>
                  </c15:fullRef>
                </c:ext>
              </c:extLst>
              <c:f>('Savings Goal'!$H$5,'Savings Goal'!$H$8,'Savings Goal'!$H$11,'Savings Goal'!$H$14,'Savings Goal'!$H$17,'Savings Goal'!$H$20,'Savings Goal'!$H$23,'Savings Goal'!$H$26,'Savings Goal'!$H$29,'Savings Goal'!$H$32,'Savings Goal'!$H$35,'Savings Goal'!$H$38)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BE-407A-A370-884AB55E6582}"/>
            </c:ext>
          </c:extLst>
        </c:ser>
        <c:ser>
          <c:idx val="2"/>
          <c:order val="2"/>
          <c:tx>
            <c:strRef>
              <c:f>'Savings Goal'!$I$2</c:f>
              <c:strCache>
                <c:ptCount val="1"/>
                <c:pt idx="0">
                  <c:v>Savings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3</c:v>
              </c:pt>
              <c:pt idx="1">
                <c:v>6</c:v>
              </c:pt>
              <c:pt idx="2">
                <c:v>9</c:v>
              </c:pt>
              <c:pt idx="3">
                <c:v>12</c:v>
              </c:pt>
              <c:pt idx="4">
                <c:v>15</c:v>
              </c:pt>
              <c:pt idx="5">
                <c:v>18</c:v>
              </c:pt>
              <c:pt idx="6">
                <c:v>21</c:v>
              </c:pt>
              <c:pt idx="7">
                <c:v>24</c:v>
              </c:pt>
              <c:pt idx="8">
                <c:v>27</c:v>
              </c:pt>
              <c:pt idx="9">
                <c:v>30</c:v>
              </c:pt>
              <c:pt idx="10">
                <c:v>33</c:v>
              </c:pt>
              <c:pt idx="11">
                <c:v>36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'Savings Goal'!$I$3:$I$38</c15:sqref>
                  </c15:fullRef>
                </c:ext>
              </c:extLst>
              <c:f>('Savings Goal'!$I$5,'Savings Goal'!$I$8,'Savings Goal'!$I$11,'Savings Goal'!$I$14,'Savings Goal'!$I$17,'Savings Goal'!$I$20,'Savings Goal'!$I$23,'Savings Goal'!$I$26,'Savings Goal'!$I$29,'Savings Goal'!$I$32,'Savings Goal'!$I$35,'Savings Goal'!$I$38)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A2-47B9-86AF-F57BB06EE77E}"/>
            </c:ext>
          </c:extLst>
        </c:ser>
        <c:ser>
          <c:idx val="3"/>
          <c:order val="3"/>
          <c:tx>
            <c:strRef>
              <c:f>'Savings Goal'!$J$2</c:f>
              <c:strCache>
                <c:ptCount val="1"/>
                <c:pt idx="0">
                  <c:v>+10%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3</c:v>
              </c:pt>
              <c:pt idx="1">
                <c:v>6</c:v>
              </c:pt>
              <c:pt idx="2">
                <c:v>9</c:v>
              </c:pt>
              <c:pt idx="3">
                <c:v>12</c:v>
              </c:pt>
              <c:pt idx="4">
                <c:v>15</c:v>
              </c:pt>
              <c:pt idx="5">
                <c:v>18</c:v>
              </c:pt>
              <c:pt idx="6">
                <c:v>21</c:v>
              </c:pt>
              <c:pt idx="7">
                <c:v>24</c:v>
              </c:pt>
              <c:pt idx="8">
                <c:v>27</c:v>
              </c:pt>
              <c:pt idx="9">
                <c:v>30</c:v>
              </c:pt>
              <c:pt idx="10">
                <c:v>33</c:v>
              </c:pt>
              <c:pt idx="11">
                <c:v>36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'Savings Goal'!$J$3:$J$38</c15:sqref>
                  </c15:fullRef>
                </c:ext>
              </c:extLst>
              <c:f>('Savings Goal'!$J$5,'Savings Goal'!$J$8,'Savings Goal'!$J$11,'Savings Goal'!$J$14,'Savings Goal'!$J$17,'Savings Goal'!$J$20,'Savings Goal'!$J$23,'Savings Goal'!$J$26,'Savings Goal'!$J$29,'Savings Goal'!$J$32,'Savings Goal'!$J$35,'Savings Goal'!$J$38)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A2-47B9-86AF-F57BB06EE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7313880"/>
        <c:axId val="48731617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'Savings Goal'!$G$2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ullRef>
                          <c15:sqref>'Savings Goal'!$G$3:$G$38</c15:sqref>
                        </c15:fullRef>
                        <c15:formulaRef>
                          <c15:sqref>('Savings Goal'!$G$5,'Savings Goal'!$G$8,'Savings Goal'!$G$11,'Savings Goal'!$G$14,'Savings Goal'!$G$17,'Savings Goal'!$G$20,'Savings Goal'!$G$23,'Savings Goal'!$G$26,'Savings Goal'!$G$29,'Savings Goal'!$G$32,'Savings Goal'!$G$35,'Savings Goal'!$G$38)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</c:v>
                      </c:pt>
                      <c:pt idx="1">
                        <c:v>6</c:v>
                      </c:pt>
                      <c:pt idx="2">
                        <c:v>9</c:v>
                      </c:pt>
                      <c:pt idx="3">
                        <c:v>12</c:v>
                      </c:pt>
                      <c:pt idx="4">
                        <c:v>15</c:v>
                      </c:pt>
                      <c:pt idx="5">
                        <c:v>18</c:v>
                      </c:pt>
                      <c:pt idx="6">
                        <c:v>21</c:v>
                      </c:pt>
                      <c:pt idx="7">
                        <c:v>24</c:v>
                      </c:pt>
                      <c:pt idx="8">
                        <c:v>27</c:v>
                      </c:pt>
                      <c:pt idx="9">
                        <c:v>30</c:v>
                      </c:pt>
                      <c:pt idx="10">
                        <c:v>33</c:v>
                      </c:pt>
                      <c:pt idx="11">
                        <c:v>36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EBE-407A-A370-884AB55E6582}"/>
                  </c:ext>
                </c:extLst>
              </c15:ser>
            </c15:filteredLineSeries>
          </c:ext>
        </c:extLst>
      </c:lineChart>
      <c:catAx>
        <c:axId val="487313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b="1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316176"/>
        <c:crosses val="autoZero"/>
        <c:auto val="1"/>
        <c:lblAlgn val="ctr"/>
        <c:lblOffset val="100"/>
        <c:noMultiLvlLbl val="0"/>
      </c:catAx>
      <c:valAx>
        <c:axId val="48731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b="1"/>
                  <a:t>Total Savings</a:t>
                </a:r>
              </a:p>
            </c:rich>
          </c:tx>
          <c:layout>
            <c:manualLayout>
              <c:xMode val="edge"/>
              <c:yMode val="edge"/>
              <c:x val="2.1381660625755111E-2"/>
              <c:y val="0.280309614689502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313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F4D-44D4-A3D4-4FE74E2F96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F4D-44D4-A3D4-4FE74E2F96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F4D-44D4-A3D4-4FE74E2F96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F4D-44D4-A3D4-4FE74E2F96F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F4D-44D4-A3D4-4FE74E2F96F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F4D-44D4-A3D4-4FE74E2F96F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F4D-44D4-A3D4-4FE74E2F96F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F4D-44D4-A3D4-4FE74E2F96F8}"/>
                </c:ext>
              </c:extLst>
            </c:dLbl>
            <c:dLbl>
              <c:idx val="3"/>
              <c:layout>
                <c:manualLayout>
                  <c:x val="-7.4999999999999997E-2"/>
                  <c:y val="1.85185185185185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4D-44D4-A3D4-4FE74E2F96F8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EF4D-44D4-A3D4-4FE74E2F96F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'Month 8'!$B$84:$B$88</c:f>
              <c:strCache>
                <c:ptCount val="5"/>
                <c:pt idx="0">
                  <c:v>LIVING EXPENSES</c:v>
                </c:pt>
                <c:pt idx="1">
                  <c:v>INDULGENCE EXPENSES</c:v>
                </c:pt>
                <c:pt idx="2">
                  <c:v>SAVINGS</c:v>
                </c:pt>
                <c:pt idx="3">
                  <c:v>TITHINGS</c:v>
                </c:pt>
                <c:pt idx="4">
                  <c:v>DEBT REPAYMENT</c:v>
                </c:pt>
              </c:strCache>
            </c:strRef>
          </c:cat>
          <c:val>
            <c:numRef>
              <c:f>'Month 8'!$C$84:$C$88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4D-44D4-A3D4-4FE74E2F96F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</a:rPr>
              <a:t>Cash</a:t>
            </a:r>
            <a:r>
              <a:rPr lang="es-MX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</a:rPr>
              <a:t> Flow Chart</a:t>
            </a:r>
            <a:endParaRPr lang="es-MX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0"/>
                  </a:prstClr>
                </a:outerShdw>
              </a:effectLst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1A2-46B8-94FA-0ED6F7DC03E8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1A2-46B8-94FA-0ED6F7DC03E8}"/>
              </c:ext>
            </c:extLst>
          </c:dPt>
          <c:dPt>
            <c:idx val="2"/>
            <c:invertIfNegative val="0"/>
            <c:bubble3D val="0"/>
            <c:spPr>
              <a:solidFill>
                <a:srgbClr val="FF717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1A2-46B8-94FA-0ED6F7DC03E8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1A2-46B8-94FA-0ED6F7DC03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'Month 9'!$D$7:$D$13</c15:sqref>
                  </c15:fullRef>
                </c:ext>
              </c:extLst>
              <c:f>('Month 9'!$D$7,'Month 9'!$D$11:$D$13)</c:f>
              <c:strCache>
                <c:ptCount val="4"/>
                <c:pt idx="0">
                  <c:v>Income</c:v>
                </c:pt>
                <c:pt idx="1">
                  <c:v>Budgeted</c:v>
                </c:pt>
                <c:pt idx="2">
                  <c:v>Expenses</c:v>
                </c:pt>
                <c:pt idx="3">
                  <c:v>Remaining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'Month 9'!$F$7:$F$13</c15:sqref>
                  </c15:fullRef>
                </c:ext>
              </c:extLst>
              <c:f>('Month 9'!$F$7,'Month 9'!$F$11:$F$13)</c:f>
              <c:numCache>
                <c:formatCode>_("$"* #,##0.00_);_("$"* \(#,##0.00\);_("$"*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'Month 9'!$F$9</c15:sqref>
                  <c15:spPr xmlns:c15="http://schemas.microsoft.com/office/drawing/2012/chart">
                    <a:solidFill>
                      <a:schemeClr val="accent5">
                        <a:lumMod val="60000"/>
                        <a:lumOff val="40000"/>
                      </a:schemeClr>
                    </a:soli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8-21A2-46B8-94FA-0ED6F7DC03E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75077000"/>
        <c:axId val="475079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'Month 9'!$D$7:$D$13</c15:sqref>
                        </c15:fullRef>
                        <c15:formulaRef>
                          <c15:sqref>('Month 9'!$D$7,'Month 9'!$D$11:$D$13)</c15:sqref>
                        </c15:formulaRef>
                      </c:ext>
                    </c:extLst>
                    <c:strCache>
                      <c:ptCount val="4"/>
                      <c:pt idx="0">
                        <c:v>Income</c:v>
                      </c:pt>
                      <c:pt idx="1">
                        <c:v>Budgeted</c:v>
                      </c:pt>
                      <c:pt idx="2">
                        <c:v>Expenses</c:v>
                      </c:pt>
                      <c:pt idx="3">
                        <c:v>Remaining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'Month 9'!$E$7:$E$13</c15:sqref>
                        </c15:fullRef>
                        <c15:formulaRef>
                          <c15:sqref>('Month 9'!$E$7,'Month 9'!$E$11:$E$13)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21A2-46B8-94FA-0ED6F7DC03E8}"/>
                  </c:ext>
                </c:extLst>
              </c15:ser>
            </c15:filteredBarSeries>
          </c:ext>
        </c:extLst>
      </c:barChart>
      <c:catAx>
        <c:axId val="475077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079624"/>
        <c:crosses val="autoZero"/>
        <c:auto val="1"/>
        <c:lblAlgn val="ctr"/>
        <c:lblOffset val="100"/>
        <c:noMultiLvlLbl val="0"/>
      </c:catAx>
      <c:valAx>
        <c:axId val="47507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52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077000"/>
        <c:crosses val="autoZero"/>
        <c:crossBetween val="between"/>
      </c:valAx>
      <c:spPr>
        <a:solidFill>
          <a:schemeClr val="bg2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15875">
      <a:solidFill>
        <a:schemeClr val="tx1"/>
      </a:solidFill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94B-41BB-B901-517BAF230B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94B-41BB-B901-517BAF230B8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94B-41BB-B901-517BAF230B8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94B-41BB-B901-517BAF230B8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94B-41BB-B901-517BAF230B8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94B-41BB-B901-517BAF230B8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94B-41BB-B901-517BAF230B8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94B-41BB-B901-517BAF230B86}"/>
                </c:ext>
              </c:extLst>
            </c:dLbl>
            <c:dLbl>
              <c:idx val="3"/>
              <c:layout>
                <c:manualLayout>
                  <c:x val="-7.4999999999999997E-2"/>
                  <c:y val="1.85185185185185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4B-41BB-B901-517BAF230B86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594B-41BB-B901-517BAF230B8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'Month 9'!$B$84:$B$88</c:f>
              <c:strCache>
                <c:ptCount val="5"/>
                <c:pt idx="0">
                  <c:v>LIVING EXPENSES</c:v>
                </c:pt>
                <c:pt idx="1">
                  <c:v>INDULGENCE EXPENSES</c:v>
                </c:pt>
                <c:pt idx="2">
                  <c:v>SAVINGS</c:v>
                </c:pt>
                <c:pt idx="3">
                  <c:v>TITHINGS</c:v>
                </c:pt>
                <c:pt idx="4">
                  <c:v>DEBT REPAYMENT</c:v>
                </c:pt>
              </c:strCache>
            </c:strRef>
          </c:cat>
          <c:val>
            <c:numRef>
              <c:f>'Month 9'!$C$84:$C$88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94B-41BB-B901-517BAF230B8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</a:rPr>
              <a:t>Cash</a:t>
            </a:r>
            <a:r>
              <a:rPr lang="es-MX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</a:rPr>
              <a:t> Flow Chart</a:t>
            </a:r>
            <a:endParaRPr lang="es-MX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0"/>
                  </a:prstClr>
                </a:outerShdw>
              </a:effectLst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684-487B-848B-308D75E3E18E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684-487B-848B-308D75E3E18E}"/>
              </c:ext>
            </c:extLst>
          </c:dPt>
          <c:dPt>
            <c:idx val="2"/>
            <c:invertIfNegative val="0"/>
            <c:bubble3D val="0"/>
            <c:spPr>
              <a:solidFill>
                <a:srgbClr val="FF717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684-487B-848B-308D75E3E18E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684-487B-848B-308D75E3E1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'Month 10'!$D$7:$D$13</c15:sqref>
                  </c15:fullRef>
                </c:ext>
              </c:extLst>
              <c:f>('Month 10'!$D$7,'Month 10'!$D$11:$D$13)</c:f>
              <c:strCache>
                <c:ptCount val="4"/>
                <c:pt idx="0">
                  <c:v>Income</c:v>
                </c:pt>
                <c:pt idx="1">
                  <c:v>Budgeted</c:v>
                </c:pt>
                <c:pt idx="2">
                  <c:v>Expenses</c:v>
                </c:pt>
                <c:pt idx="3">
                  <c:v>Remaining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'Month 10'!$F$7:$F$13</c15:sqref>
                  </c15:fullRef>
                </c:ext>
              </c:extLst>
              <c:f>('Month 10'!$F$7,'Month 10'!$F$11:$F$13)</c:f>
              <c:numCache>
                <c:formatCode>_("$"* #,##0.00_);_("$"* \(#,##0.00\);_("$"*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'Month 10'!$F$9</c15:sqref>
                  <c15:spPr xmlns:c15="http://schemas.microsoft.com/office/drawing/2012/chart">
                    <a:solidFill>
                      <a:schemeClr val="accent5">
                        <a:lumMod val="60000"/>
                        <a:lumOff val="40000"/>
                      </a:schemeClr>
                    </a:soli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8-B684-487B-848B-308D75E3E18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75077000"/>
        <c:axId val="475079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'Month 10'!$D$7:$D$13</c15:sqref>
                        </c15:fullRef>
                        <c15:formulaRef>
                          <c15:sqref>('Month 10'!$D$7,'Month 10'!$D$11:$D$13)</c15:sqref>
                        </c15:formulaRef>
                      </c:ext>
                    </c:extLst>
                    <c:strCache>
                      <c:ptCount val="4"/>
                      <c:pt idx="0">
                        <c:v>Income</c:v>
                      </c:pt>
                      <c:pt idx="1">
                        <c:v>Budgeted</c:v>
                      </c:pt>
                      <c:pt idx="2">
                        <c:v>Expenses</c:v>
                      </c:pt>
                      <c:pt idx="3">
                        <c:v>Remaining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'Month 10'!$E$7:$E$13</c15:sqref>
                        </c15:fullRef>
                        <c15:formulaRef>
                          <c15:sqref>('Month 10'!$E$7,'Month 10'!$E$11:$E$13)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B684-487B-848B-308D75E3E18E}"/>
                  </c:ext>
                </c:extLst>
              </c15:ser>
            </c15:filteredBarSeries>
          </c:ext>
        </c:extLst>
      </c:barChart>
      <c:catAx>
        <c:axId val="475077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079624"/>
        <c:crosses val="autoZero"/>
        <c:auto val="1"/>
        <c:lblAlgn val="ctr"/>
        <c:lblOffset val="100"/>
        <c:noMultiLvlLbl val="0"/>
      </c:catAx>
      <c:valAx>
        <c:axId val="47507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52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077000"/>
        <c:crosses val="autoZero"/>
        <c:crossBetween val="between"/>
      </c:valAx>
      <c:spPr>
        <a:solidFill>
          <a:schemeClr val="bg2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15875">
      <a:solidFill>
        <a:schemeClr val="tx1"/>
      </a:solidFill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41E-42C4-B185-CAEB7EA497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41E-42C4-B185-CAEB7EA497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41E-42C4-B185-CAEB7EA497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41E-42C4-B185-CAEB7EA497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41E-42C4-B185-CAEB7EA4972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41E-42C4-B185-CAEB7EA4972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41E-42C4-B185-CAEB7EA4972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941E-42C4-B185-CAEB7EA49724}"/>
                </c:ext>
              </c:extLst>
            </c:dLbl>
            <c:dLbl>
              <c:idx val="3"/>
              <c:layout>
                <c:manualLayout>
                  <c:x val="-7.4999999999999997E-2"/>
                  <c:y val="1.85185185185185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1E-42C4-B185-CAEB7EA49724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941E-42C4-B185-CAEB7EA4972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'Month 10'!$B$84:$B$88</c:f>
              <c:strCache>
                <c:ptCount val="5"/>
                <c:pt idx="0">
                  <c:v>LIVING EXPENSES</c:v>
                </c:pt>
                <c:pt idx="1">
                  <c:v>INDULGENCE EXPENSES</c:v>
                </c:pt>
                <c:pt idx="2">
                  <c:v>SAVINGS</c:v>
                </c:pt>
                <c:pt idx="3">
                  <c:v>TITHINGS</c:v>
                </c:pt>
                <c:pt idx="4">
                  <c:v>DEBT REPAYMENT</c:v>
                </c:pt>
              </c:strCache>
            </c:strRef>
          </c:cat>
          <c:val>
            <c:numRef>
              <c:f>'Month 10'!$C$84:$C$88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41E-42C4-B185-CAEB7EA49724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</a:rPr>
              <a:t>Cash</a:t>
            </a:r>
            <a:r>
              <a:rPr lang="es-MX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</a:rPr>
              <a:t> Flow Chart</a:t>
            </a:r>
            <a:endParaRPr lang="es-MX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0"/>
                  </a:prstClr>
                </a:outerShdw>
              </a:effectLst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E4F-4E27-800D-077CC6A87EF3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E4F-4E27-800D-077CC6A87EF3}"/>
              </c:ext>
            </c:extLst>
          </c:dPt>
          <c:dPt>
            <c:idx val="2"/>
            <c:invertIfNegative val="0"/>
            <c:bubble3D val="0"/>
            <c:spPr>
              <a:solidFill>
                <a:srgbClr val="FF717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E4F-4E27-800D-077CC6A87EF3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E4F-4E27-800D-077CC6A87E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'Month 11'!$D$7:$D$13</c15:sqref>
                  </c15:fullRef>
                </c:ext>
              </c:extLst>
              <c:f>('Month 11'!$D$7,'Month 11'!$D$11:$D$13)</c:f>
              <c:strCache>
                <c:ptCount val="4"/>
                <c:pt idx="0">
                  <c:v>Income</c:v>
                </c:pt>
                <c:pt idx="1">
                  <c:v>Budgeted</c:v>
                </c:pt>
                <c:pt idx="2">
                  <c:v>Expenses</c:v>
                </c:pt>
                <c:pt idx="3">
                  <c:v>Remaining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'Month 11'!$F$7:$F$13</c15:sqref>
                  </c15:fullRef>
                </c:ext>
              </c:extLst>
              <c:f>('Month 11'!$F$7,'Month 11'!$F$11:$F$13)</c:f>
              <c:numCache>
                <c:formatCode>_("$"* #,##0.00_);_("$"* \(#,##0.00\);_("$"*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'Month 11'!$F$9</c15:sqref>
                  <c15:spPr xmlns:c15="http://schemas.microsoft.com/office/drawing/2012/chart">
                    <a:solidFill>
                      <a:schemeClr val="accent5">
                        <a:lumMod val="60000"/>
                        <a:lumOff val="40000"/>
                      </a:schemeClr>
                    </a:soli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8-1E4F-4E27-800D-077CC6A87EF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75077000"/>
        <c:axId val="475079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'Month 11'!$D$7:$D$13</c15:sqref>
                        </c15:fullRef>
                        <c15:formulaRef>
                          <c15:sqref>('Month 11'!$D$7,'Month 11'!$D$11:$D$13)</c15:sqref>
                        </c15:formulaRef>
                      </c:ext>
                    </c:extLst>
                    <c:strCache>
                      <c:ptCount val="4"/>
                      <c:pt idx="0">
                        <c:v>Income</c:v>
                      </c:pt>
                      <c:pt idx="1">
                        <c:v>Budgeted</c:v>
                      </c:pt>
                      <c:pt idx="2">
                        <c:v>Expenses</c:v>
                      </c:pt>
                      <c:pt idx="3">
                        <c:v>Remaining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'Month 11'!$E$7:$E$13</c15:sqref>
                        </c15:fullRef>
                        <c15:formulaRef>
                          <c15:sqref>('Month 11'!$E$7,'Month 11'!$E$11:$E$13)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1E4F-4E27-800D-077CC6A87EF3}"/>
                  </c:ext>
                </c:extLst>
              </c15:ser>
            </c15:filteredBarSeries>
          </c:ext>
        </c:extLst>
      </c:barChart>
      <c:catAx>
        <c:axId val="475077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079624"/>
        <c:crosses val="autoZero"/>
        <c:auto val="1"/>
        <c:lblAlgn val="ctr"/>
        <c:lblOffset val="100"/>
        <c:noMultiLvlLbl val="0"/>
      </c:catAx>
      <c:valAx>
        <c:axId val="47507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52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077000"/>
        <c:crosses val="autoZero"/>
        <c:crossBetween val="between"/>
      </c:valAx>
      <c:spPr>
        <a:solidFill>
          <a:schemeClr val="bg2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15875">
      <a:solidFill>
        <a:schemeClr val="tx1"/>
      </a:solidFill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F57-4885-AD31-D930A13E26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F57-4885-AD31-D930A13E26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F57-4885-AD31-D930A13E26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F57-4885-AD31-D930A13E261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F57-4885-AD31-D930A13E261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F57-4885-AD31-D930A13E261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F57-4885-AD31-D930A13E261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F57-4885-AD31-D930A13E261F}"/>
                </c:ext>
              </c:extLst>
            </c:dLbl>
            <c:dLbl>
              <c:idx val="3"/>
              <c:layout>
                <c:manualLayout>
                  <c:x val="-7.4999999999999997E-2"/>
                  <c:y val="1.85185185185185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57-4885-AD31-D930A13E261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8F57-4885-AD31-D930A13E261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'Month 11'!$B$84:$B$88</c:f>
              <c:strCache>
                <c:ptCount val="5"/>
                <c:pt idx="0">
                  <c:v>LIVING EXPENSES</c:v>
                </c:pt>
                <c:pt idx="1">
                  <c:v>INDULGENCE EXPENSES</c:v>
                </c:pt>
                <c:pt idx="2">
                  <c:v>SAVINGS</c:v>
                </c:pt>
                <c:pt idx="3">
                  <c:v>TITHINGS</c:v>
                </c:pt>
                <c:pt idx="4">
                  <c:v>DEBT REPAYMENT</c:v>
                </c:pt>
              </c:strCache>
            </c:strRef>
          </c:cat>
          <c:val>
            <c:numRef>
              <c:f>'Month 11'!$C$84:$C$88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F57-4885-AD31-D930A13E261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</a:rPr>
              <a:t>Cash</a:t>
            </a:r>
            <a:r>
              <a:rPr lang="es-MX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</a:rPr>
              <a:t> Flow Chart</a:t>
            </a:r>
            <a:endParaRPr lang="es-MX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0"/>
                  </a:prstClr>
                </a:outerShdw>
              </a:effectLst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19D-4E2E-892E-155B778DA33C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19D-4E2E-892E-155B778DA33C}"/>
              </c:ext>
            </c:extLst>
          </c:dPt>
          <c:dPt>
            <c:idx val="2"/>
            <c:invertIfNegative val="0"/>
            <c:bubble3D val="0"/>
            <c:spPr>
              <a:solidFill>
                <a:srgbClr val="FF717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19D-4E2E-892E-155B778DA33C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19D-4E2E-892E-155B778DA3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'Month 12'!$D$7:$D$13</c15:sqref>
                  </c15:fullRef>
                </c:ext>
              </c:extLst>
              <c:f>('Month 12'!$D$7,'Month 12'!$D$11:$D$13)</c:f>
              <c:strCache>
                <c:ptCount val="4"/>
                <c:pt idx="0">
                  <c:v>Income</c:v>
                </c:pt>
                <c:pt idx="1">
                  <c:v>Budgeted</c:v>
                </c:pt>
                <c:pt idx="2">
                  <c:v>Expenses</c:v>
                </c:pt>
                <c:pt idx="3">
                  <c:v>Remaining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'Month 12'!$F$7:$F$13</c15:sqref>
                  </c15:fullRef>
                </c:ext>
              </c:extLst>
              <c:f>('Month 12'!$F$7,'Month 12'!$F$11:$F$13)</c:f>
              <c:numCache>
                <c:formatCode>_("$"* #,##0.00_);_("$"* \(#,##0.00\);_("$"*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'Month 12'!$F$9</c15:sqref>
                  <c15:spPr xmlns:c15="http://schemas.microsoft.com/office/drawing/2012/chart">
                    <a:solidFill>
                      <a:schemeClr val="accent5">
                        <a:lumMod val="60000"/>
                        <a:lumOff val="40000"/>
                      </a:schemeClr>
                    </a:soli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8-319D-4E2E-892E-155B778DA33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75077000"/>
        <c:axId val="475079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'Month 12'!$D$7:$D$13</c15:sqref>
                        </c15:fullRef>
                        <c15:formulaRef>
                          <c15:sqref>('Month 12'!$D$7,'Month 12'!$D$11:$D$13)</c15:sqref>
                        </c15:formulaRef>
                      </c:ext>
                    </c:extLst>
                    <c:strCache>
                      <c:ptCount val="4"/>
                      <c:pt idx="0">
                        <c:v>Income</c:v>
                      </c:pt>
                      <c:pt idx="1">
                        <c:v>Budgeted</c:v>
                      </c:pt>
                      <c:pt idx="2">
                        <c:v>Expenses</c:v>
                      </c:pt>
                      <c:pt idx="3">
                        <c:v>Remaining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'Month 12'!$E$7:$E$13</c15:sqref>
                        </c15:fullRef>
                        <c15:formulaRef>
                          <c15:sqref>('Month 12'!$E$7,'Month 12'!$E$11:$E$13)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319D-4E2E-892E-155B778DA33C}"/>
                  </c:ext>
                </c:extLst>
              </c15:ser>
            </c15:filteredBarSeries>
          </c:ext>
        </c:extLst>
      </c:barChart>
      <c:catAx>
        <c:axId val="475077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079624"/>
        <c:crosses val="autoZero"/>
        <c:auto val="1"/>
        <c:lblAlgn val="ctr"/>
        <c:lblOffset val="100"/>
        <c:noMultiLvlLbl val="0"/>
      </c:catAx>
      <c:valAx>
        <c:axId val="47507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52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077000"/>
        <c:crosses val="autoZero"/>
        <c:crossBetween val="between"/>
      </c:valAx>
      <c:spPr>
        <a:solidFill>
          <a:schemeClr val="bg2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15875">
      <a:solidFill>
        <a:schemeClr val="tx1"/>
      </a:solidFill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776-4163-8B75-488A75DDCB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776-4163-8B75-488A75DDCBD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776-4163-8B75-488A75DDCBD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776-4163-8B75-488A75DDCBD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776-4163-8B75-488A75DDCBD1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776-4163-8B75-488A75DDCBD1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776-4163-8B75-488A75DDCBD1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776-4163-8B75-488A75DDCBD1}"/>
                </c:ext>
              </c:extLst>
            </c:dLbl>
            <c:dLbl>
              <c:idx val="3"/>
              <c:layout>
                <c:manualLayout>
                  <c:x val="-7.4999999999999997E-2"/>
                  <c:y val="1.85185185185185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76-4163-8B75-488A75DDCBD1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7776-4163-8B75-488A75DDCBD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'Month 11'!$B$84:$B$88</c:f>
              <c:strCache>
                <c:ptCount val="5"/>
                <c:pt idx="0">
                  <c:v>LIVING EXPENSES</c:v>
                </c:pt>
                <c:pt idx="1">
                  <c:v>INDULGENCE EXPENSES</c:v>
                </c:pt>
                <c:pt idx="2">
                  <c:v>SAVINGS</c:v>
                </c:pt>
                <c:pt idx="3">
                  <c:v>TITHINGS</c:v>
                </c:pt>
                <c:pt idx="4">
                  <c:v>DEBT REPAYMENT</c:v>
                </c:pt>
              </c:strCache>
            </c:strRef>
          </c:cat>
          <c:val>
            <c:numRef>
              <c:f>'Month 11'!$C$84:$C$88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776-4163-8B75-488A75DDCBD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</a:rPr>
              <a:t>Cash</a:t>
            </a:r>
            <a:r>
              <a:rPr lang="es-MX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</a:rPr>
              <a:t> Flow Chart</a:t>
            </a:r>
            <a:endParaRPr lang="es-MX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0"/>
                  </a:prstClr>
                </a:outerShdw>
              </a:effectLst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DFC-4BC6-A30D-7383D5CBFB84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DFC-4BC6-A30D-7383D5CBFB84}"/>
              </c:ext>
            </c:extLst>
          </c:dPt>
          <c:dPt>
            <c:idx val="2"/>
            <c:invertIfNegative val="0"/>
            <c:bubble3D val="0"/>
            <c:spPr>
              <a:solidFill>
                <a:srgbClr val="FF717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DFC-4BC6-A30D-7383D5CBFB84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DFC-4BC6-A30D-7383D5CBFB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Master!$D$7:$D$13</c15:sqref>
                  </c15:fullRef>
                </c:ext>
              </c:extLst>
              <c:f>(Master!$D$7,Master!$D$11:$D$13)</c:f>
              <c:strCache>
                <c:ptCount val="4"/>
                <c:pt idx="0">
                  <c:v>Income</c:v>
                </c:pt>
                <c:pt idx="1">
                  <c:v>Budgeted</c:v>
                </c:pt>
                <c:pt idx="2">
                  <c:v>Expenses</c:v>
                </c:pt>
                <c:pt idx="3">
                  <c:v>Remaining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Master!$F$7:$F$13</c15:sqref>
                  </c15:fullRef>
                </c:ext>
              </c:extLst>
              <c:f>(Master!$F$7,Master!$F$11:$F$13)</c:f>
              <c:numCache>
                <c:formatCode>_("$"* #,##0.00_);_("$"* \(#,##0.00\);_("$"*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Master!$F$9</c15:sqref>
                  <c15:spPr xmlns:c15="http://schemas.microsoft.com/office/drawing/2012/chart">
                    <a:solidFill>
                      <a:schemeClr val="accent5">
                        <a:lumMod val="60000"/>
                        <a:lumOff val="40000"/>
                      </a:schemeClr>
                    </a:soli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8-CDFC-4BC6-A30D-7383D5CBFB8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75077000"/>
        <c:axId val="475079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Master!$D$7:$D$13</c15:sqref>
                        </c15:fullRef>
                        <c15:formulaRef>
                          <c15:sqref>(Master!$D$7,Master!$D$11:$D$13)</c15:sqref>
                        </c15:formulaRef>
                      </c:ext>
                    </c:extLst>
                    <c:strCache>
                      <c:ptCount val="4"/>
                      <c:pt idx="0">
                        <c:v>Income</c:v>
                      </c:pt>
                      <c:pt idx="1">
                        <c:v>Budgeted</c:v>
                      </c:pt>
                      <c:pt idx="2">
                        <c:v>Expenses</c:v>
                      </c:pt>
                      <c:pt idx="3">
                        <c:v>Remaining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Master!$E$7:$E$13</c15:sqref>
                        </c15:fullRef>
                        <c15:formulaRef>
                          <c15:sqref>(Master!$E$7,Master!$E$11:$E$13)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CDFC-4BC6-A30D-7383D5CBFB84}"/>
                  </c:ext>
                </c:extLst>
              </c15:ser>
            </c15:filteredBarSeries>
          </c:ext>
        </c:extLst>
      </c:barChart>
      <c:catAx>
        <c:axId val="475077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079624"/>
        <c:crosses val="autoZero"/>
        <c:auto val="1"/>
        <c:lblAlgn val="ctr"/>
        <c:lblOffset val="100"/>
        <c:noMultiLvlLbl val="0"/>
      </c:catAx>
      <c:valAx>
        <c:axId val="47507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52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077000"/>
        <c:crosses val="autoZero"/>
        <c:crossBetween val="between"/>
      </c:valAx>
      <c:spPr>
        <a:solidFill>
          <a:schemeClr val="bg2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15875">
      <a:solidFill>
        <a:schemeClr val="tx1"/>
      </a:solidFill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</a:rPr>
              <a:t>Cash</a:t>
            </a:r>
            <a:r>
              <a:rPr lang="es-MX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</a:rPr>
              <a:t> Flow Chart</a:t>
            </a:r>
            <a:endParaRPr lang="es-MX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0"/>
                  </a:prstClr>
                </a:outerShdw>
              </a:effectLst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AE6-43D0-AC1B-9FBD63DB9D94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E65B-4962-A4E5-FF53155011E8}"/>
              </c:ext>
            </c:extLst>
          </c:dPt>
          <c:dPt>
            <c:idx val="2"/>
            <c:invertIfNegative val="0"/>
            <c:bubble3D val="0"/>
            <c:spPr>
              <a:solidFill>
                <a:srgbClr val="FF717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4BC-4C4A-A22D-6014C92F8D6B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65B-4962-A4E5-FF53155011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'Sample Month'!$D$7:$D$13</c15:sqref>
                  </c15:fullRef>
                </c:ext>
              </c:extLst>
              <c:f>('Sample Month'!$D$7,'Sample Month'!$D$11:$D$13)</c:f>
              <c:strCache>
                <c:ptCount val="4"/>
                <c:pt idx="0">
                  <c:v>Income</c:v>
                </c:pt>
                <c:pt idx="1">
                  <c:v>Budgeted</c:v>
                </c:pt>
                <c:pt idx="2">
                  <c:v>Expenses</c:v>
                </c:pt>
                <c:pt idx="3">
                  <c:v>Remaining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Month'!$F$7:$F$13</c15:sqref>
                  </c15:fullRef>
                </c:ext>
              </c:extLst>
              <c:f>('Sample Month'!$F$7,'Sample Month'!$F$11:$F$13)</c:f>
              <c:numCache>
                <c:formatCode>_("$"* #,##0.00_);_("$"* \(#,##0.00\);_("$"* "-"??_);_(@_)</c:formatCode>
                <c:ptCount val="4"/>
                <c:pt idx="0">
                  <c:v>800</c:v>
                </c:pt>
                <c:pt idx="1">
                  <c:v>660</c:v>
                </c:pt>
                <c:pt idx="2">
                  <c:v>656.33</c:v>
                </c:pt>
                <c:pt idx="3">
                  <c:v>3.6699999999999591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'Sample Month'!$F$9</c15:sqref>
                  <c15:spPr xmlns:c15="http://schemas.microsoft.com/office/drawing/2012/chart">
                    <a:solidFill>
                      <a:schemeClr val="accent5">
                        <a:lumMod val="60000"/>
                        <a:lumOff val="40000"/>
                      </a:schemeClr>
                    </a:soli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8AE6-43D0-AC1B-9FBD63DB9D9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75077000"/>
        <c:axId val="475079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'Sample Month'!$D$7:$D$13</c15:sqref>
                        </c15:fullRef>
                        <c15:formulaRef>
                          <c15:sqref>('Sample Month'!$D$7,'Sample Month'!$D$11:$D$13)</c15:sqref>
                        </c15:formulaRef>
                      </c:ext>
                    </c:extLst>
                    <c:strCache>
                      <c:ptCount val="4"/>
                      <c:pt idx="0">
                        <c:v>Income</c:v>
                      </c:pt>
                      <c:pt idx="1">
                        <c:v>Budgeted</c:v>
                      </c:pt>
                      <c:pt idx="2">
                        <c:v>Expenses</c:v>
                      </c:pt>
                      <c:pt idx="3">
                        <c:v>Remaining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'Sample Month'!$E$7:$E$13</c15:sqref>
                        </c15:fullRef>
                        <c15:formulaRef>
                          <c15:sqref>('Sample Month'!$E$7,'Sample Month'!$E$11:$E$13)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AE6-43D0-AC1B-9FBD63DB9D94}"/>
                  </c:ext>
                </c:extLst>
              </c15:ser>
            </c15:filteredBarSeries>
          </c:ext>
        </c:extLst>
      </c:barChart>
      <c:catAx>
        <c:axId val="475077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079624"/>
        <c:crosses val="autoZero"/>
        <c:auto val="1"/>
        <c:lblAlgn val="ctr"/>
        <c:lblOffset val="100"/>
        <c:noMultiLvlLbl val="0"/>
      </c:catAx>
      <c:valAx>
        <c:axId val="47507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52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077000"/>
        <c:crosses val="autoZero"/>
        <c:crossBetween val="between"/>
      </c:valAx>
      <c:spPr>
        <a:solidFill>
          <a:schemeClr val="bg2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15875">
      <a:solidFill>
        <a:schemeClr val="tx1"/>
      </a:solidFill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E17-416D-A62E-C06289ADE6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E17-416D-A62E-C06289ADE6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E17-416D-A62E-C06289ADE69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E17-416D-A62E-C06289ADE69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E17-416D-A62E-C06289ADE69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E17-416D-A62E-C06289ADE69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E17-416D-A62E-C06289ADE69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E17-416D-A62E-C06289ADE69E}"/>
                </c:ext>
              </c:extLst>
            </c:dLbl>
            <c:dLbl>
              <c:idx val="3"/>
              <c:layout>
                <c:manualLayout>
                  <c:x val="-7.4999999999999997E-2"/>
                  <c:y val="1.85185185185185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E17-416D-A62E-C06289ADE69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CE17-416D-A62E-C06289ADE69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Master!$B$84:$B$88</c:f>
              <c:strCache>
                <c:ptCount val="5"/>
                <c:pt idx="0">
                  <c:v>LIVING EXPENSES</c:v>
                </c:pt>
                <c:pt idx="1">
                  <c:v>INDULGENCE EXPENSES</c:v>
                </c:pt>
                <c:pt idx="2">
                  <c:v>SAVINGS</c:v>
                </c:pt>
                <c:pt idx="3">
                  <c:v>TITHINGS</c:v>
                </c:pt>
                <c:pt idx="4">
                  <c:v>DEBT REPAYMENT</c:v>
                </c:pt>
              </c:strCache>
            </c:strRef>
          </c:cat>
          <c:val>
            <c:numRef>
              <c:f>Master!$C$84:$C$88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E17-416D-A62E-C06289ADE69E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E7E-4D05-8976-6A0F8BDF12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EE7E-4D05-8976-6A0F8BDF12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E7E-4D05-8976-6A0F8BDF12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E7E-4D05-8976-6A0F8BDF129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E7E-4D05-8976-6A0F8BDF129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E7E-4D05-8976-6A0F8BDF129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E7E-4D05-8976-6A0F8BDF129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E7E-4D05-8976-6A0F8BDF1297}"/>
                </c:ext>
              </c:extLst>
            </c:dLbl>
            <c:dLbl>
              <c:idx val="3"/>
              <c:layout>
                <c:manualLayout>
                  <c:x val="-7.4999999999999997E-2"/>
                  <c:y val="1.85185185185185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7E-4D05-8976-6A0F8BDF1297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283333333333331"/>
                      <c:h val="0.113958515602216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E7E-4D05-8976-6A0F8BDF129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'Sample Month'!$B$84:$B$88</c:f>
              <c:strCache>
                <c:ptCount val="5"/>
                <c:pt idx="0">
                  <c:v>LIVING EXPENSES</c:v>
                </c:pt>
                <c:pt idx="1">
                  <c:v>INDULGENCE EXPENSES</c:v>
                </c:pt>
                <c:pt idx="2">
                  <c:v>SAVINGS</c:v>
                </c:pt>
                <c:pt idx="3">
                  <c:v>TITHINGS</c:v>
                </c:pt>
                <c:pt idx="4">
                  <c:v>DEBT REPAYMENT</c:v>
                </c:pt>
              </c:strCache>
            </c:strRef>
          </c:cat>
          <c:val>
            <c:numRef>
              <c:f>'Sample Month'!$C$84:$C$88</c:f>
              <c:numCache>
                <c:formatCode>0.0%</c:formatCode>
                <c:ptCount val="5"/>
                <c:pt idx="0">
                  <c:v>0.68987731216957793</c:v>
                </c:pt>
                <c:pt idx="1">
                  <c:v>0.13431617545489935</c:v>
                </c:pt>
                <c:pt idx="2">
                  <c:v>7.5345648160938306E-2</c:v>
                </c:pt>
                <c:pt idx="3">
                  <c:v>0.1004608642145844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7E-4D05-8976-6A0F8BDF129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</a:rPr>
              <a:t>Cash</a:t>
            </a:r>
            <a:r>
              <a:rPr lang="es-MX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</a:rPr>
              <a:t> Flow Chart</a:t>
            </a:r>
            <a:endParaRPr lang="es-MX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0"/>
                  </a:prstClr>
                </a:outerShdw>
              </a:effectLst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4CA-4DE3-BA25-4E6B13F7C595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4CA-4DE3-BA25-4E6B13F7C595}"/>
              </c:ext>
            </c:extLst>
          </c:dPt>
          <c:dPt>
            <c:idx val="2"/>
            <c:invertIfNegative val="0"/>
            <c:bubble3D val="0"/>
            <c:spPr>
              <a:solidFill>
                <a:srgbClr val="FF717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4CA-4DE3-BA25-4E6B13F7C595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4CA-4DE3-BA25-4E6B13F7C5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'Month 1'!$D$7:$D$13</c15:sqref>
                  </c15:fullRef>
                </c:ext>
              </c:extLst>
              <c:f>('Month 1'!$D$7,'Month 1'!$D$11:$D$13)</c:f>
              <c:strCache>
                <c:ptCount val="4"/>
                <c:pt idx="0">
                  <c:v>Income</c:v>
                </c:pt>
                <c:pt idx="1">
                  <c:v>Budgeted</c:v>
                </c:pt>
                <c:pt idx="2">
                  <c:v>Expenses</c:v>
                </c:pt>
                <c:pt idx="3">
                  <c:v>Remaining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'Month 1'!$F$7:$F$13</c15:sqref>
                  </c15:fullRef>
                </c:ext>
              </c:extLst>
              <c:f>('Month 1'!$F$7,'Month 1'!$F$11:$F$13)</c:f>
              <c:numCache>
                <c:formatCode>_("$"* #,##0.00_);_("$"* \(#,##0.00\);_("$"*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'Month 1'!$F$9</c15:sqref>
                  <c15:spPr xmlns:c15="http://schemas.microsoft.com/office/drawing/2012/chart">
                    <a:solidFill>
                      <a:schemeClr val="accent5">
                        <a:lumMod val="60000"/>
                        <a:lumOff val="40000"/>
                      </a:schemeClr>
                    </a:soli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8-44CA-4DE3-BA25-4E6B13F7C59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75077000"/>
        <c:axId val="475079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'Month 1'!$D$7:$D$13</c15:sqref>
                        </c15:fullRef>
                        <c15:formulaRef>
                          <c15:sqref>('Month 1'!$D$7,'Month 1'!$D$11:$D$13)</c15:sqref>
                        </c15:formulaRef>
                      </c:ext>
                    </c:extLst>
                    <c:strCache>
                      <c:ptCount val="4"/>
                      <c:pt idx="0">
                        <c:v>Income</c:v>
                      </c:pt>
                      <c:pt idx="1">
                        <c:v>Budgeted</c:v>
                      </c:pt>
                      <c:pt idx="2">
                        <c:v>Expenses</c:v>
                      </c:pt>
                      <c:pt idx="3">
                        <c:v>Remaining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'Month 1'!$E$7:$E$13</c15:sqref>
                        </c15:fullRef>
                        <c15:formulaRef>
                          <c15:sqref>('Month 1'!$E$7,'Month 1'!$E$11:$E$13)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44CA-4DE3-BA25-4E6B13F7C595}"/>
                  </c:ext>
                </c:extLst>
              </c15:ser>
            </c15:filteredBarSeries>
          </c:ext>
        </c:extLst>
      </c:barChart>
      <c:catAx>
        <c:axId val="475077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079624"/>
        <c:crosses val="autoZero"/>
        <c:auto val="1"/>
        <c:lblAlgn val="ctr"/>
        <c:lblOffset val="100"/>
        <c:noMultiLvlLbl val="0"/>
      </c:catAx>
      <c:valAx>
        <c:axId val="47507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52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077000"/>
        <c:crosses val="autoZero"/>
        <c:crossBetween val="between"/>
      </c:valAx>
      <c:spPr>
        <a:solidFill>
          <a:schemeClr val="bg2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15875">
      <a:solidFill>
        <a:schemeClr val="tx1"/>
      </a:solidFill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268-4AE1-A59F-5436BAE57B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268-4AE1-A59F-5436BAE57B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268-4AE1-A59F-5436BAE57B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268-4AE1-A59F-5436BAE57B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268-4AE1-A59F-5436BAE57B7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268-4AE1-A59F-5436BAE57B7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268-4AE1-A59F-5436BAE57B7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268-4AE1-A59F-5436BAE57B76}"/>
                </c:ext>
              </c:extLst>
            </c:dLbl>
            <c:dLbl>
              <c:idx val="3"/>
              <c:layout>
                <c:manualLayout>
                  <c:x val="-7.4999999999999997E-2"/>
                  <c:y val="1.85185185185185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68-4AE1-A59F-5436BAE57B76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B268-4AE1-A59F-5436BAE57B7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'Month 1'!$B$84:$B$88</c:f>
              <c:strCache>
                <c:ptCount val="5"/>
                <c:pt idx="0">
                  <c:v>LIVING EXPENSES</c:v>
                </c:pt>
                <c:pt idx="1">
                  <c:v>INDULGENCE EXPENSES</c:v>
                </c:pt>
                <c:pt idx="2">
                  <c:v>SAVINGS</c:v>
                </c:pt>
                <c:pt idx="3">
                  <c:v>TITHINGS</c:v>
                </c:pt>
                <c:pt idx="4">
                  <c:v>DEBT REPAYMENT</c:v>
                </c:pt>
              </c:strCache>
            </c:strRef>
          </c:cat>
          <c:val>
            <c:numRef>
              <c:f>'Month 1'!$C$84:$C$88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268-4AE1-A59F-5436BAE57B7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</a:rPr>
              <a:t>Cash</a:t>
            </a:r>
            <a:r>
              <a:rPr lang="es-MX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</a:rPr>
              <a:t> Flow Chart</a:t>
            </a:r>
            <a:endParaRPr lang="es-MX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0"/>
                  </a:prstClr>
                </a:outerShdw>
              </a:effectLst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A13-492C-A69E-B6C46A5FBC45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A13-492C-A69E-B6C46A5FBC45}"/>
              </c:ext>
            </c:extLst>
          </c:dPt>
          <c:dPt>
            <c:idx val="2"/>
            <c:invertIfNegative val="0"/>
            <c:bubble3D val="0"/>
            <c:spPr>
              <a:solidFill>
                <a:srgbClr val="FF717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A13-492C-A69E-B6C46A5FBC45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A13-492C-A69E-B6C46A5FBC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'Month 2'!$D$7:$D$13</c15:sqref>
                  </c15:fullRef>
                </c:ext>
              </c:extLst>
              <c:f>('Month 2'!$D$7,'Month 2'!$D$11:$D$13)</c:f>
              <c:strCache>
                <c:ptCount val="4"/>
                <c:pt idx="0">
                  <c:v>Income</c:v>
                </c:pt>
                <c:pt idx="1">
                  <c:v>Budgeted</c:v>
                </c:pt>
                <c:pt idx="2">
                  <c:v>Expenses</c:v>
                </c:pt>
                <c:pt idx="3">
                  <c:v>Remaining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'Month 2'!$F$7:$F$13</c15:sqref>
                  </c15:fullRef>
                </c:ext>
              </c:extLst>
              <c:f>('Month 2'!$F$7,'Month 2'!$F$11:$F$13)</c:f>
              <c:numCache>
                <c:formatCode>_("$"* #,##0.00_);_("$"* \(#,##0.00\);_("$"*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'Month 2'!$F$9</c15:sqref>
                  <c15:spPr xmlns:c15="http://schemas.microsoft.com/office/drawing/2012/chart">
                    <a:solidFill>
                      <a:schemeClr val="accent5">
                        <a:lumMod val="60000"/>
                        <a:lumOff val="40000"/>
                      </a:schemeClr>
                    </a:soli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8-1A13-492C-A69E-B6C46A5FBC4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75077000"/>
        <c:axId val="475079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'Month 2'!$D$7:$D$13</c15:sqref>
                        </c15:fullRef>
                        <c15:formulaRef>
                          <c15:sqref>('Month 2'!$D$7,'Month 2'!$D$11:$D$13)</c15:sqref>
                        </c15:formulaRef>
                      </c:ext>
                    </c:extLst>
                    <c:strCache>
                      <c:ptCount val="4"/>
                      <c:pt idx="0">
                        <c:v>Income</c:v>
                      </c:pt>
                      <c:pt idx="1">
                        <c:v>Budgeted</c:v>
                      </c:pt>
                      <c:pt idx="2">
                        <c:v>Expenses</c:v>
                      </c:pt>
                      <c:pt idx="3">
                        <c:v>Remaining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'Month 2'!$E$7:$E$13</c15:sqref>
                        </c15:fullRef>
                        <c15:formulaRef>
                          <c15:sqref>('Month 2'!$E$7,'Month 2'!$E$11:$E$13)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1A13-492C-A69E-B6C46A5FBC45}"/>
                  </c:ext>
                </c:extLst>
              </c15:ser>
            </c15:filteredBarSeries>
          </c:ext>
        </c:extLst>
      </c:barChart>
      <c:catAx>
        <c:axId val="475077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079624"/>
        <c:crosses val="autoZero"/>
        <c:auto val="1"/>
        <c:lblAlgn val="ctr"/>
        <c:lblOffset val="100"/>
        <c:noMultiLvlLbl val="0"/>
      </c:catAx>
      <c:valAx>
        <c:axId val="47507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52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077000"/>
        <c:crosses val="autoZero"/>
        <c:crossBetween val="between"/>
      </c:valAx>
      <c:spPr>
        <a:solidFill>
          <a:schemeClr val="bg2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15875">
      <a:solidFill>
        <a:schemeClr val="tx1"/>
      </a:solidFill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437-4B80-AA38-76619BF9B4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437-4B80-AA38-76619BF9B4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437-4B80-AA38-76619BF9B4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437-4B80-AA38-76619BF9B4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437-4B80-AA38-76619BF9B4A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437-4B80-AA38-76619BF9B4A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437-4B80-AA38-76619BF9B4A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437-4B80-AA38-76619BF9B4AC}"/>
                </c:ext>
              </c:extLst>
            </c:dLbl>
            <c:dLbl>
              <c:idx val="3"/>
              <c:layout>
                <c:manualLayout>
                  <c:x val="-7.4999999999999997E-2"/>
                  <c:y val="1.85185185185185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37-4B80-AA38-76619BF9B4AC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4437-4B80-AA38-76619BF9B4A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'Month 2'!$B$84:$B$88</c:f>
              <c:strCache>
                <c:ptCount val="5"/>
                <c:pt idx="0">
                  <c:v>LIVING EXPENSES</c:v>
                </c:pt>
                <c:pt idx="1">
                  <c:v>INDULGENCE EXPENSES</c:v>
                </c:pt>
                <c:pt idx="2">
                  <c:v>SAVINGS</c:v>
                </c:pt>
                <c:pt idx="3">
                  <c:v>TITHINGS</c:v>
                </c:pt>
                <c:pt idx="4">
                  <c:v>DEBT REPAYMENT</c:v>
                </c:pt>
              </c:strCache>
            </c:strRef>
          </c:cat>
          <c:val>
            <c:numRef>
              <c:f>'Month 2'!$C$84:$C$88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437-4B80-AA38-76619BF9B4A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</a:rPr>
              <a:t>Cash</a:t>
            </a:r>
            <a:r>
              <a:rPr lang="es-MX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0"/>
                    </a:prstClr>
                  </a:outerShdw>
                </a:effectLst>
              </a:rPr>
              <a:t> Flow Chart</a:t>
            </a:r>
            <a:endParaRPr lang="es-MX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0"/>
                  </a:prstClr>
                </a:outerShdw>
              </a:effectLst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FDC-49D3-9DA0-5DBC71E116F6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FDC-49D3-9DA0-5DBC71E116F6}"/>
              </c:ext>
            </c:extLst>
          </c:dPt>
          <c:dPt>
            <c:idx val="2"/>
            <c:invertIfNegative val="0"/>
            <c:bubble3D val="0"/>
            <c:spPr>
              <a:solidFill>
                <a:srgbClr val="FF717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FDC-49D3-9DA0-5DBC71E116F6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FDC-49D3-9DA0-5DBC71E116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'Month 3'!$D$7:$D$13</c15:sqref>
                  </c15:fullRef>
                </c:ext>
              </c:extLst>
              <c:f>('Month 3'!$D$7,'Month 3'!$D$11:$D$13)</c:f>
              <c:strCache>
                <c:ptCount val="4"/>
                <c:pt idx="0">
                  <c:v>Income</c:v>
                </c:pt>
                <c:pt idx="1">
                  <c:v>Budgeted</c:v>
                </c:pt>
                <c:pt idx="2">
                  <c:v>Expenses</c:v>
                </c:pt>
                <c:pt idx="3">
                  <c:v>Remaining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'Month 3'!$F$7:$F$13</c15:sqref>
                  </c15:fullRef>
                </c:ext>
              </c:extLst>
              <c:f>('Month 3'!$F$7,'Month 3'!$F$11:$F$13)</c:f>
              <c:numCache>
                <c:formatCode>_("$"* #,##0.00_);_("$"* \(#,##0.00\);_("$"*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'Month 3'!$F$9</c15:sqref>
                  <c15:spPr xmlns:c15="http://schemas.microsoft.com/office/drawing/2012/chart">
                    <a:solidFill>
                      <a:schemeClr val="accent5">
                        <a:lumMod val="60000"/>
                        <a:lumOff val="40000"/>
                      </a:schemeClr>
                    </a:soli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8-EFDC-49D3-9DA0-5DBC71E116F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75077000"/>
        <c:axId val="475079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'Month 3'!$D$7:$D$13</c15:sqref>
                        </c15:fullRef>
                        <c15:formulaRef>
                          <c15:sqref>('Month 3'!$D$7,'Month 3'!$D$11:$D$13)</c15:sqref>
                        </c15:formulaRef>
                      </c:ext>
                    </c:extLst>
                    <c:strCache>
                      <c:ptCount val="4"/>
                      <c:pt idx="0">
                        <c:v>Income</c:v>
                      </c:pt>
                      <c:pt idx="1">
                        <c:v>Budgeted</c:v>
                      </c:pt>
                      <c:pt idx="2">
                        <c:v>Expenses</c:v>
                      </c:pt>
                      <c:pt idx="3">
                        <c:v>Remaining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'Month 3'!$E$7:$E$13</c15:sqref>
                        </c15:fullRef>
                        <c15:formulaRef>
                          <c15:sqref>('Month 3'!$E$7,'Month 3'!$E$11:$E$13)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EFDC-49D3-9DA0-5DBC71E116F6}"/>
                  </c:ext>
                </c:extLst>
              </c15:ser>
            </c15:filteredBarSeries>
          </c:ext>
        </c:extLst>
      </c:barChart>
      <c:catAx>
        <c:axId val="475077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079624"/>
        <c:crosses val="autoZero"/>
        <c:auto val="1"/>
        <c:lblAlgn val="ctr"/>
        <c:lblOffset val="100"/>
        <c:noMultiLvlLbl val="0"/>
      </c:catAx>
      <c:valAx>
        <c:axId val="47507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alpha val="52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077000"/>
        <c:crosses val="autoZero"/>
        <c:crossBetween val="between"/>
      </c:valAx>
      <c:spPr>
        <a:solidFill>
          <a:schemeClr val="bg2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15875">
      <a:solidFill>
        <a:schemeClr val="tx1"/>
      </a:solidFill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jpeg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jpeg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2.jpeg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image" Target="../media/image2.jpeg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image" Target="../media/image2.jpeg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image" Target="../media/image2.jpeg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image" Target="../media/image2.jpeg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image" Target="../media/image2.jpeg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jpe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2.jpe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2.jpeg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2.jpeg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2.jpeg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jpeg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262499</xdr:colOff>
      <xdr:row>0</xdr:row>
      <xdr:rowOff>22501</xdr:rowOff>
    </xdr:from>
    <xdr:to>
      <xdr:col>14</xdr:col>
      <xdr:colOff>524266</xdr:colOff>
      <xdr:row>1</xdr:row>
      <xdr:rowOff>51808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9786D1-EFA1-48E4-8F36-9FC50D80A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2499" y="22501"/>
          <a:ext cx="3299267" cy="32180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723899</xdr:colOff>
      <xdr:row>4</xdr:row>
      <xdr:rowOff>195262</xdr:rowOff>
    </xdr:from>
    <xdr:to>
      <xdr:col>10</xdr:col>
      <xdr:colOff>752474</xdr:colOff>
      <xdr:row>17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A9116A-57C5-4C7D-BD10-D4000C8359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590550</xdr:colOff>
      <xdr:row>3</xdr:row>
      <xdr:rowOff>144082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B78F92-5F71-4202-AEC3-06F4D9DBB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5975" y="200025"/>
          <a:ext cx="590550" cy="582232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83</xdr:row>
      <xdr:rowOff>0</xdr:rowOff>
    </xdr:from>
    <xdr:to>
      <xdr:col>8</xdr:col>
      <xdr:colOff>1562100</xdr:colOff>
      <xdr:row>97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C1D90F3-1FE3-42AD-875F-5B2A03B0E8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723899</xdr:colOff>
      <xdr:row>4</xdr:row>
      <xdr:rowOff>195262</xdr:rowOff>
    </xdr:from>
    <xdr:to>
      <xdr:col>10</xdr:col>
      <xdr:colOff>752474</xdr:colOff>
      <xdr:row>17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1C0CE4-3376-4B33-A6E5-F37542C4A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590550</xdr:colOff>
      <xdr:row>3</xdr:row>
      <xdr:rowOff>144082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FD3A14-5332-4317-9F6D-CD253F93F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5975" y="200025"/>
          <a:ext cx="590550" cy="582232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83</xdr:row>
      <xdr:rowOff>0</xdr:rowOff>
    </xdr:from>
    <xdr:to>
      <xdr:col>8</xdr:col>
      <xdr:colOff>1562100</xdr:colOff>
      <xdr:row>97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3C9144C-32C5-42D7-8132-5DF93C263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723899</xdr:colOff>
      <xdr:row>4</xdr:row>
      <xdr:rowOff>195262</xdr:rowOff>
    </xdr:from>
    <xdr:to>
      <xdr:col>10</xdr:col>
      <xdr:colOff>752474</xdr:colOff>
      <xdr:row>17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E95062-BDE7-4B65-8034-35A68B4551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590550</xdr:colOff>
      <xdr:row>3</xdr:row>
      <xdr:rowOff>144082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CCAC41-362E-45C2-AE53-90EDCC854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5975" y="200025"/>
          <a:ext cx="590550" cy="582232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83</xdr:row>
      <xdr:rowOff>0</xdr:rowOff>
    </xdr:from>
    <xdr:to>
      <xdr:col>8</xdr:col>
      <xdr:colOff>1562100</xdr:colOff>
      <xdr:row>97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C4BB0E3-CCFB-4656-A2A2-746C04AB63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723899</xdr:colOff>
      <xdr:row>4</xdr:row>
      <xdr:rowOff>195262</xdr:rowOff>
    </xdr:from>
    <xdr:to>
      <xdr:col>10</xdr:col>
      <xdr:colOff>752474</xdr:colOff>
      <xdr:row>17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6F5D42-209E-482E-9C9B-04A0762001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590550</xdr:colOff>
      <xdr:row>3</xdr:row>
      <xdr:rowOff>144082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11614A-8A7E-4764-8DB2-F444DC5A5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5975" y="200025"/>
          <a:ext cx="590550" cy="582232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83</xdr:row>
      <xdr:rowOff>0</xdr:rowOff>
    </xdr:from>
    <xdr:to>
      <xdr:col>8</xdr:col>
      <xdr:colOff>1562100</xdr:colOff>
      <xdr:row>97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0A8190E-9CFE-41DE-9A99-AC45602430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723899</xdr:colOff>
      <xdr:row>4</xdr:row>
      <xdr:rowOff>195262</xdr:rowOff>
    </xdr:from>
    <xdr:to>
      <xdr:col>10</xdr:col>
      <xdr:colOff>752474</xdr:colOff>
      <xdr:row>17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86DAD4-BC31-4691-87C4-61D9845AB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590550</xdr:colOff>
      <xdr:row>3</xdr:row>
      <xdr:rowOff>144082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F7DAE8-82AF-400D-B238-61DEAB8C9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5975" y="200025"/>
          <a:ext cx="590550" cy="582232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83</xdr:row>
      <xdr:rowOff>0</xdr:rowOff>
    </xdr:from>
    <xdr:to>
      <xdr:col>8</xdr:col>
      <xdr:colOff>1562100</xdr:colOff>
      <xdr:row>97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AB5582A-7E05-4ED1-94D0-6B35A0382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723899</xdr:colOff>
      <xdr:row>4</xdr:row>
      <xdr:rowOff>195262</xdr:rowOff>
    </xdr:from>
    <xdr:to>
      <xdr:col>10</xdr:col>
      <xdr:colOff>752474</xdr:colOff>
      <xdr:row>17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F5631D-424B-4550-971E-F78C38BC5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590550</xdr:colOff>
      <xdr:row>3</xdr:row>
      <xdr:rowOff>144082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208DCF-7B78-4E23-8B2F-C253B8A47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5975" y="200025"/>
          <a:ext cx="590550" cy="582232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83</xdr:row>
      <xdr:rowOff>0</xdr:rowOff>
    </xdr:from>
    <xdr:to>
      <xdr:col>8</xdr:col>
      <xdr:colOff>1562100</xdr:colOff>
      <xdr:row>97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EA26614-A898-4329-94C9-7458CB38EC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723899</xdr:colOff>
      <xdr:row>4</xdr:row>
      <xdr:rowOff>195262</xdr:rowOff>
    </xdr:from>
    <xdr:to>
      <xdr:col>10</xdr:col>
      <xdr:colOff>752474</xdr:colOff>
      <xdr:row>17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B235CC-777F-402C-8C63-7D14F022AD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590550</xdr:colOff>
      <xdr:row>3</xdr:row>
      <xdr:rowOff>144082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A0CCCD-F9F7-4E00-9BB1-FA11A5831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5975" y="200025"/>
          <a:ext cx="590550" cy="582232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83</xdr:row>
      <xdr:rowOff>0</xdr:rowOff>
    </xdr:from>
    <xdr:to>
      <xdr:col>8</xdr:col>
      <xdr:colOff>1562100</xdr:colOff>
      <xdr:row>97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DFFF733-1BA5-4C1F-A2FE-C34AD358B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723899</xdr:colOff>
      <xdr:row>4</xdr:row>
      <xdr:rowOff>195262</xdr:rowOff>
    </xdr:from>
    <xdr:to>
      <xdr:col>10</xdr:col>
      <xdr:colOff>752474</xdr:colOff>
      <xdr:row>17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4120AF-96D2-4837-AD0E-4441631D64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590550</xdr:colOff>
      <xdr:row>3</xdr:row>
      <xdr:rowOff>144082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BA1340-67A0-4AF2-9574-72FFF0C5C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5975" y="200025"/>
          <a:ext cx="590550" cy="582232"/>
        </a:xfrm>
        <a:prstGeom prst="rect">
          <a:avLst/>
        </a:prstGeom>
      </xdr:spPr>
    </xdr:pic>
    <xdr:clientData/>
  </xdr:twoCellAnchor>
  <xdr:twoCellAnchor>
    <xdr:from>
      <xdr:col>3</xdr:col>
      <xdr:colOff>676275</xdr:colOff>
      <xdr:row>83</xdr:row>
      <xdr:rowOff>0</xdr:rowOff>
    </xdr:from>
    <xdr:to>
      <xdr:col>8</xdr:col>
      <xdr:colOff>1524000</xdr:colOff>
      <xdr:row>97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FD374B8-FE7E-4ADE-A973-E2949DBFB8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19</xdr:row>
      <xdr:rowOff>42862</xdr:rowOff>
    </xdr:from>
    <xdr:to>
      <xdr:col>8</xdr:col>
      <xdr:colOff>19050</xdr:colOff>
      <xdr:row>35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440007E-A46E-42E6-9D8E-B47FFDAEEF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590550</xdr:colOff>
      <xdr:row>3</xdr:row>
      <xdr:rowOff>191707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34BF21F-2071-4FE4-9FD8-5AD3B44D4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3600" y="200025"/>
          <a:ext cx="590550" cy="5822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5</xdr:row>
      <xdr:rowOff>185737</xdr:rowOff>
    </xdr:from>
    <xdr:to>
      <xdr:col>17</xdr:col>
      <xdr:colOff>9525</xdr:colOff>
      <xdr:row>18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0E137E-BC52-4F5E-AD12-59CAE25A3D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590550</xdr:colOff>
      <xdr:row>3</xdr:row>
      <xdr:rowOff>182182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C4C8D1-389C-464D-B1AF-1D53DC53A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9850" y="200025"/>
          <a:ext cx="590550" cy="5822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723899</xdr:colOff>
      <xdr:row>4</xdr:row>
      <xdr:rowOff>195262</xdr:rowOff>
    </xdr:from>
    <xdr:to>
      <xdr:col>10</xdr:col>
      <xdr:colOff>752474</xdr:colOff>
      <xdr:row>17</xdr:row>
      <xdr:rowOff>171450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8D9B50A-7131-4D37-8DCD-3E1E52FA95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590550</xdr:colOff>
      <xdr:row>3</xdr:row>
      <xdr:rowOff>144082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C5E0B11-CEC6-4C94-8BE3-D4099E0C9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4050" y="200025"/>
          <a:ext cx="590550" cy="582232"/>
        </a:xfrm>
        <a:prstGeom prst="rect">
          <a:avLst/>
        </a:prstGeom>
      </xdr:spPr>
    </xdr:pic>
    <xdr:clientData/>
  </xdr:twoCellAnchor>
  <xdr:twoCellAnchor>
    <xdr:from>
      <xdr:col>3</xdr:col>
      <xdr:colOff>376237</xdr:colOff>
      <xdr:row>82</xdr:row>
      <xdr:rowOff>180975</xdr:rowOff>
    </xdr:from>
    <xdr:to>
      <xdr:col>8</xdr:col>
      <xdr:colOff>1223962</xdr:colOff>
      <xdr:row>97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914E8B-087D-4CE1-8FE5-239659385C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723899</xdr:colOff>
      <xdr:row>4</xdr:row>
      <xdr:rowOff>195262</xdr:rowOff>
    </xdr:from>
    <xdr:to>
      <xdr:col>10</xdr:col>
      <xdr:colOff>752474</xdr:colOff>
      <xdr:row>17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A4374C-747D-4E21-BFF0-2597E75E6C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590550</xdr:colOff>
      <xdr:row>3</xdr:row>
      <xdr:rowOff>144082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FAADC6-5A34-4675-A1AE-B3161EB18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5975" y="200025"/>
          <a:ext cx="590550" cy="582232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83</xdr:row>
      <xdr:rowOff>0</xdr:rowOff>
    </xdr:from>
    <xdr:to>
      <xdr:col>8</xdr:col>
      <xdr:colOff>1562100</xdr:colOff>
      <xdr:row>97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6AD1766-3B24-4332-9F3C-978395F77E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723899</xdr:colOff>
      <xdr:row>4</xdr:row>
      <xdr:rowOff>195262</xdr:rowOff>
    </xdr:from>
    <xdr:to>
      <xdr:col>10</xdr:col>
      <xdr:colOff>752474</xdr:colOff>
      <xdr:row>17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C992CA-F8D1-45E5-857D-B613D7B418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590550</xdr:colOff>
      <xdr:row>3</xdr:row>
      <xdr:rowOff>144082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F15E61-A844-405E-AB90-89646BB03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5975" y="200025"/>
          <a:ext cx="590550" cy="582232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83</xdr:row>
      <xdr:rowOff>0</xdr:rowOff>
    </xdr:from>
    <xdr:to>
      <xdr:col>8</xdr:col>
      <xdr:colOff>1562100</xdr:colOff>
      <xdr:row>97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DBC1DC-52E2-412A-AF76-9C36336E6E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723899</xdr:colOff>
      <xdr:row>4</xdr:row>
      <xdr:rowOff>195262</xdr:rowOff>
    </xdr:from>
    <xdr:to>
      <xdr:col>10</xdr:col>
      <xdr:colOff>752474</xdr:colOff>
      <xdr:row>17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687566-E8C9-4BB0-B6D9-45E2A47AE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590550</xdr:colOff>
      <xdr:row>3</xdr:row>
      <xdr:rowOff>144082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2F76D1-1089-445F-B492-25B632BF0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5975" y="200025"/>
          <a:ext cx="590550" cy="582232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83</xdr:row>
      <xdr:rowOff>0</xdr:rowOff>
    </xdr:from>
    <xdr:to>
      <xdr:col>8</xdr:col>
      <xdr:colOff>1562100</xdr:colOff>
      <xdr:row>97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96F224B-0F3D-4D64-8FF7-3BDC08DCC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723899</xdr:colOff>
      <xdr:row>4</xdr:row>
      <xdr:rowOff>195262</xdr:rowOff>
    </xdr:from>
    <xdr:to>
      <xdr:col>10</xdr:col>
      <xdr:colOff>752474</xdr:colOff>
      <xdr:row>17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54EA20-D338-4A69-952D-69ED7036DE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590550</xdr:colOff>
      <xdr:row>3</xdr:row>
      <xdr:rowOff>144082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B123E3-3EF6-4037-AFFE-ECB768E40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5975" y="200025"/>
          <a:ext cx="590550" cy="582232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83</xdr:row>
      <xdr:rowOff>0</xdr:rowOff>
    </xdr:from>
    <xdr:to>
      <xdr:col>8</xdr:col>
      <xdr:colOff>1562100</xdr:colOff>
      <xdr:row>97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BFB6C9B-9EBA-49C7-9ED7-56C7DE330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723899</xdr:colOff>
      <xdr:row>4</xdr:row>
      <xdr:rowOff>195262</xdr:rowOff>
    </xdr:from>
    <xdr:to>
      <xdr:col>10</xdr:col>
      <xdr:colOff>752474</xdr:colOff>
      <xdr:row>17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918837-F9FB-4927-B1A3-728234D805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590550</xdr:colOff>
      <xdr:row>3</xdr:row>
      <xdr:rowOff>144082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0F69CF-A182-4B34-A96A-44B1D4F42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5975" y="200025"/>
          <a:ext cx="590550" cy="582232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83</xdr:row>
      <xdr:rowOff>0</xdr:rowOff>
    </xdr:from>
    <xdr:to>
      <xdr:col>8</xdr:col>
      <xdr:colOff>1562100</xdr:colOff>
      <xdr:row>97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B60E35C-906F-4992-A124-7E6C312F2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7743ED-9E85-433D-8C1E-D185F0253A21}" name="Table449142" displayName="Table449142" ref="H21:K56" totalsRowShown="0" tableBorderDxfId="27">
  <autoFilter ref="H21:K56" xr:uid="{89F8B940-CDCC-49FD-9658-45AE8B2044D2}"/>
  <tableColumns count="4">
    <tableColumn id="1" xr3:uid="{85943BDC-B5E0-41DD-A490-318DE15B969F}" name="Date" dataDxfId="26"/>
    <tableColumn id="2" xr3:uid="{289B2C7A-95D4-4255-A8BB-C64176363482}" name="Expense Description"/>
    <tableColumn id="4" xr3:uid="{21BB7A8C-B2DD-4FE4-90FF-2FCC9C7D186E}" name="Category"/>
    <tableColumn id="3" xr3:uid="{CAEF018B-6E28-4E3D-8B4B-7A54860ABD08}" name="Amount" dataCellStyle="Currency"/>
  </tableColumns>
  <tableStyleInfo name="TableStyleMedium2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7869355C-2D5E-4098-AF65-3196427FAC9C}" name="Table4491423423" displayName="Table4491423423" ref="H21:K56" totalsRowShown="0" tableBorderDxfId="9">
  <autoFilter ref="H21:K56" xr:uid="{89F8B940-CDCC-49FD-9658-45AE8B2044D2}"/>
  <tableColumns count="4">
    <tableColumn id="1" xr3:uid="{B071D20A-E865-4547-AC55-72717F37EC2E}" name="Date" dataDxfId="8"/>
    <tableColumn id="2" xr3:uid="{DECEFDDE-1AF1-4CDB-A6BA-FDBB07DEF7B2}" name="Expense Description"/>
    <tableColumn id="4" xr3:uid="{7395DE96-6855-4C0C-872C-A6560BE2FF02}" name="Category"/>
    <tableColumn id="3" xr3:uid="{65A7347F-D7A9-42D6-9447-FE9AD6B345D5}" name="Amount" dataCellStyle="Currency"/>
  </tableColumns>
  <tableStyleInfo name="TableStyleMedium2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7A8F08E-1F6E-465F-8A36-ACE6330B8434}" name="Table4491423424" displayName="Table4491423424" ref="H21:K56" totalsRowShown="0" tableBorderDxfId="7">
  <autoFilter ref="H21:K56" xr:uid="{89F8B940-CDCC-49FD-9658-45AE8B2044D2}"/>
  <tableColumns count="4">
    <tableColumn id="1" xr3:uid="{AA1B43A2-476D-4102-B627-33874291B9D5}" name="Date" dataDxfId="6"/>
    <tableColumn id="2" xr3:uid="{8D6C49AB-CB89-499A-AAEB-0818CF6DFF46}" name="Expense Description"/>
    <tableColumn id="4" xr3:uid="{774D9022-9635-4A30-885C-D35EC61AF518}" name="Category"/>
    <tableColumn id="3" xr3:uid="{797A75AC-A69D-46A8-B9A4-4ADA22EC285B}" name="Amount" dataCellStyle="Currency"/>
  </tableColumns>
  <tableStyleInfo name="TableStyleMedium2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20628FB4-10AA-46FB-AE9B-F58C9D949B91}" name="Table4491423425" displayName="Table4491423425" ref="H21:K56" totalsRowShown="0" tableBorderDxfId="5">
  <autoFilter ref="H21:K56" xr:uid="{89F8B940-CDCC-49FD-9658-45AE8B2044D2}"/>
  <tableColumns count="4">
    <tableColumn id="1" xr3:uid="{4D40FFE2-36E7-4A6A-85F0-FF1D9141A2D5}" name="Date" dataDxfId="4"/>
    <tableColumn id="2" xr3:uid="{AC5F5DE2-063B-4C86-9044-F2139C68147B}" name="Expense Description"/>
    <tableColumn id="4" xr3:uid="{4C6230A7-6710-4297-A58E-6FBDCF3796B7}" name="Category"/>
    <tableColumn id="3" xr3:uid="{89895DDE-BD10-46CA-8C9B-6F955D9ACE2C}" name="Amount" dataCellStyle="Currency"/>
  </tableColumns>
  <tableStyleInfo name="TableStyleMedium2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923C6802-362F-4F15-9100-D60169D58C9E}" name="Table4491423426" displayName="Table4491423426" ref="H21:K56" totalsRowShown="0" tableBorderDxfId="3">
  <autoFilter ref="H21:K56" xr:uid="{89F8B940-CDCC-49FD-9658-45AE8B2044D2}"/>
  <tableColumns count="4">
    <tableColumn id="1" xr3:uid="{9750B5C2-E673-47D3-917D-AEB91B60215E}" name="Date" dataDxfId="2"/>
    <tableColumn id="2" xr3:uid="{30293071-39C4-42EF-BF87-97EEFB05613A}" name="Expense Description"/>
    <tableColumn id="4" xr3:uid="{85C5153E-256D-48D5-9BAE-A379EAE6ED60}" name="Category"/>
    <tableColumn id="3" xr3:uid="{B83715CB-4CE0-4028-8F26-5051CEED9E27}" name="Amount" dataCellStyle="Currency"/>
  </tableColumns>
  <tableStyleInfo name="TableStyleMedium25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8934CDB-4135-4182-AF50-C32B4FAB45B7}" name="Table44914234" displayName="Table44914234" ref="H21:K56" totalsRowShown="0" tableBorderDxfId="1">
  <autoFilter ref="H21:K56" xr:uid="{89F8B940-CDCC-49FD-9658-45AE8B2044D2}"/>
  <tableColumns count="4">
    <tableColumn id="1" xr3:uid="{48CB556F-CED2-41D2-A30A-57737FCAA751}" name="Date" dataDxfId="0"/>
    <tableColumn id="2" xr3:uid="{691015BC-61E4-4719-A77E-7306128CB6D8}" name="Expense Description"/>
    <tableColumn id="4" xr3:uid="{EDAE629E-D662-4264-B302-47976CDDD85E}" name="Category"/>
    <tableColumn id="3" xr3:uid="{C6F653AD-6DFC-41C6-9201-4AED025C1025}" name="Amount" dataCellStyle="Currency"/>
  </tableColumns>
  <tableStyleInfo name="TableStyleMedium2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8E7A2B8-56B1-4FAB-A385-43469446CEB8}" name="Table4491423" displayName="Table4491423" ref="H21:K56" totalsRowShown="0" tableBorderDxfId="25">
  <autoFilter ref="H21:K56" xr:uid="{89F8B940-CDCC-49FD-9658-45AE8B2044D2}"/>
  <tableColumns count="4">
    <tableColumn id="1" xr3:uid="{8C24DDE9-4B6D-491F-8481-9EA87C60EBD3}" name="Date" dataDxfId="24"/>
    <tableColumn id="2" xr3:uid="{0AB34DC8-F99D-419B-9FD1-403F2C824A4C}" name="Expense Description"/>
    <tableColumn id="4" xr3:uid="{54B5EDA3-6A1E-4F79-A37B-673597AA54D1}" name="Category"/>
    <tableColumn id="3" xr3:uid="{42585C08-345A-4D0D-8834-C8BCF242EFC4}" name="Amount" dataCellStyle="Currency"/>
  </tableColumns>
  <tableStyleInfo name="TableStyleMedium2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5394658-3792-4A70-BA89-72D6FC62FDF3}" name="Table449142345" displayName="Table449142345" ref="H21:K56" totalsRowShown="0" tableBorderDxfId="23">
  <autoFilter ref="H21:K56" xr:uid="{89F8B940-CDCC-49FD-9658-45AE8B2044D2}"/>
  <tableColumns count="4">
    <tableColumn id="1" xr3:uid="{0F413295-2D70-4FD6-ACEF-035067D261D0}" name="Date" dataDxfId="22"/>
    <tableColumn id="2" xr3:uid="{6F1BCFFC-16B2-4112-8B6C-7615DD26D912}" name="Expense Description"/>
    <tableColumn id="4" xr3:uid="{61FAC6C3-BB30-496D-A726-87C556B22817}" name="Category"/>
    <tableColumn id="3" xr3:uid="{070CA46C-4C9C-4148-9A7D-C4360E83B8F5}" name="Amount" dataCellStyle="Currency"/>
  </tableColumns>
  <tableStyleInfo name="TableStyleMedium2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139422A-D4AB-4F32-85F6-135A4E289673}" name="Table44914234517" displayName="Table44914234517" ref="H21:K56" totalsRowShown="0" tableBorderDxfId="21">
  <autoFilter ref="H21:K56" xr:uid="{89F8B940-CDCC-49FD-9658-45AE8B2044D2}"/>
  <tableColumns count="4">
    <tableColumn id="1" xr3:uid="{32700CCA-9BB3-45FC-BC8A-39F3EC46ADB6}" name="Date" dataDxfId="20"/>
    <tableColumn id="2" xr3:uid="{55FA79BF-1C4B-4D05-8FF5-FDEC783FD1C5}" name="Expense Description"/>
    <tableColumn id="4" xr3:uid="{F9091B65-7CFE-422C-B4EE-C48858A58CEA}" name="Category"/>
    <tableColumn id="3" xr3:uid="{B7797905-DA12-4A41-AA5E-9A37DC6492DC}" name="Amount" dataCellStyle="Currency"/>
  </tableColumns>
  <tableStyleInfo name="TableStyleMedium2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9388798-68DA-44F4-ADF2-08EF6E6DFC75}" name="Table4491423418" displayName="Table4491423418" ref="H21:K56" totalsRowShown="0" tableBorderDxfId="19">
  <autoFilter ref="H21:K56" xr:uid="{89F8B940-CDCC-49FD-9658-45AE8B2044D2}"/>
  <tableColumns count="4">
    <tableColumn id="1" xr3:uid="{CB894F0E-4746-41A3-8102-443EE0857C1C}" name="Date" dataDxfId="18"/>
    <tableColumn id="2" xr3:uid="{7A2788CE-B68A-4221-8AB6-1B93E375EE2D}" name="Expense Description"/>
    <tableColumn id="4" xr3:uid="{B4183CAE-7A38-4822-8233-D4C14EB16C72}" name="Category"/>
    <tableColumn id="3" xr3:uid="{EFF5560A-88D7-4991-92E0-952BE66D9FD8}" name="Amount" dataCellStyle="Currency"/>
  </tableColumns>
  <tableStyleInfo name="TableStyleMedium2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D36A404-EB48-4C94-814F-B331AAF86B42}" name="Table4491423419" displayName="Table4491423419" ref="H21:K56" totalsRowShown="0" tableBorderDxfId="17">
  <autoFilter ref="H21:K56" xr:uid="{89F8B940-CDCC-49FD-9658-45AE8B2044D2}"/>
  <tableColumns count="4">
    <tableColumn id="1" xr3:uid="{0AF0A9F4-AFC0-4B01-AB0D-8BADDA390A03}" name="Date" dataDxfId="16"/>
    <tableColumn id="2" xr3:uid="{9CD26D1E-D81E-42FB-8C6E-38C3DFB2B99D}" name="Expense Description"/>
    <tableColumn id="4" xr3:uid="{99D3F4E8-D334-490D-8D21-73C5A8F58201}" name="Category"/>
    <tableColumn id="3" xr3:uid="{CFA39816-AE90-4A61-B28C-02C10255686E}" name="Amount" dataCellStyle="Currency"/>
  </tableColumns>
  <tableStyleInfo name="TableStyleMedium2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7BAD14DA-D997-44B3-A409-31923B1B38E4}" name="Table4491423420" displayName="Table4491423420" ref="H21:K56" totalsRowShown="0" tableBorderDxfId="15">
  <autoFilter ref="H21:K56" xr:uid="{89F8B940-CDCC-49FD-9658-45AE8B2044D2}"/>
  <tableColumns count="4">
    <tableColumn id="1" xr3:uid="{C53A6B80-E68C-47EB-B8A7-DFA31D8BD033}" name="Date" dataDxfId="14"/>
    <tableColumn id="2" xr3:uid="{37223EA9-29C6-4396-A1A3-D6B673D3AE08}" name="Expense Description"/>
    <tableColumn id="4" xr3:uid="{4FB906F2-1790-4623-B2C6-26B8FE20F2EF}" name="Category"/>
    <tableColumn id="3" xr3:uid="{F8C269F0-1AFA-4080-B3BC-FCE5E7622651}" name="Amount" dataCellStyle="Currency"/>
  </tableColumns>
  <tableStyleInfo name="TableStyleMedium2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94B16EC-6E38-4A07-A141-78DA499DC1F1}" name="Table4491423421" displayName="Table4491423421" ref="H21:K56" totalsRowShown="0" tableBorderDxfId="13">
  <autoFilter ref="H21:K56" xr:uid="{89F8B940-CDCC-49FD-9658-45AE8B2044D2}"/>
  <tableColumns count="4">
    <tableColumn id="1" xr3:uid="{BDC6DFF3-4249-492B-BB34-65C0FA4FD9C9}" name="Date" dataDxfId="12"/>
    <tableColumn id="2" xr3:uid="{E6659775-1C55-44BE-86C2-05F7D6BC9E1A}" name="Expense Description"/>
    <tableColumn id="4" xr3:uid="{127A08DC-C8D7-498C-9B83-76088D889500}" name="Category"/>
    <tableColumn id="3" xr3:uid="{72AC7CCC-3730-4B31-B357-C154E6D3222F}" name="Amount" dataCellStyle="Currency"/>
  </tableColumns>
  <tableStyleInfo name="TableStyleMedium2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1888C6D5-9E03-4107-BF38-502C66615147}" name="Table449142342122" displayName="Table449142342122" ref="H21:K56" totalsRowShown="0" tableBorderDxfId="11">
  <autoFilter ref="H21:K56" xr:uid="{89F8B940-CDCC-49FD-9658-45AE8B2044D2}"/>
  <tableColumns count="4">
    <tableColumn id="1" xr3:uid="{1731D401-3CFD-401B-88B2-73A4C008C3AF}" name="Date" dataDxfId="10"/>
    <tableColumn id="2" xr3:uid="{ED0F8D41-E949-472C-A178-957003A82691}" name="Expense Description"/>
    <tableColumn id="4" xr3:uid="{C2F97BE9-854A-43C2-9453-D348750D6397}" name="Category"/>
    <tableColumn id="3" xr3:uid="{411FBDD8-0956-4C55-BD47-A0455B93A6F8}" name="Amount" dataCellStyle="Currency"/>
  </tableColumns>
  <tableStyleInfo name="TableStyleMedium2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579B5-D36F-4F8C-8F66-FC2321B83B95}">
  <dimension ref="A1:O20"/>
  <sheetViews>
    <sheetView zoomScale="127" zoomScaleNormal="130" workbookViewId="0">
      <selection activeCell="B36" sqref="B36"/>
    </sheetView>
  </sheetViews>
  <sheetFormatPr baseColWidth="10" defaultColWidth="8.83203125" defaultRowHeight="15" x14ac:dyDescent="0.2"/>
  <cols>
    <col min="1" max="1" width="12.5" customWidth="1"/>
    <col min="5" max="5" width="10.6640625" customWidth="1"/>
  </cols>
  <sheetData>
    <row r="1" spans="1:15" ht="24" x14ac:dyDescent="0.3">
      <c r="A1" s="40" t="s">
        <v>15</v>
      </c>
      <c r="B1" s="21"/>
      <c r="C1" s="21"/>
      <c r="D1" s="21"/>
      <c r="E1" s="21"/>
      <c r="F1" s="22"/>
      <c r="G1" s="22"/>
      <c r="H1" s="38" t="s">
        <v>56</v>
      </c>
      <c r="I1" s="39"/>
      <c r="J1" s="22"/>
      <c r="K1" s="22"/>
      <c r="L1" s="22"/>
      <c r="M1" s="22"/>
      <c r="N1" s="22"/>
      <c r="O1" s="23"/>
    </row>
    <row r="2" spans="1:15" x14ac:dyDescent="0.2">
      <c r="A2" s="24" t="s">
        <v>57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5"/>
    </row>
    <row r="3" spans="1:15" x14ac:dyDescent="0.2">
      <c r="A3" s="24" t="s">
        <v>18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5"/>
    </row>
    <row r="4" spans="1:15" x14ac:dyDescent="0.2">
      <c r="A4" s="24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5"/>
    </row>
    <row r="5" spans="1:15" x14ac:dyDescent="0.2">
      <c r="A5" s="26" t="s">
        <v>16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5"/>
    </row>
    <row r="6" spans="1:15" x14ac:dyDescent="0.2">
      <c r="A6" s="27" t="s">
        <v>17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5"/>
    </row>
    <row r="7" spans="1:15" x14ac:dyDescent="0.2">
      <c r="A7" s="24" t="s">
        <v>133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5"/>
    </row>
    <row r="8" spans="1:15" s="75" customFormat="1" x14ac:dyDescent="0.2">
      <c r="A8" s="24" t="s">
        <v>134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5"/>
    </row>
    <row r="9" spans="1:15" x14ac:dyDescent="0.2">
      <c r="A9" s="24" t="s">
        <v>135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5"/>
    </row>
    <row r="10" spans="1:15" x14ac:dyDescent="0.2">
      <c r="A10" s="24" t="s">
        <v>136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5"/>
    </row>
    <row r="11" spans="1:15" x14ac:dyDescent="0.2">
      <c r="A11" s="28" t="s">
        <v>137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5"/>
    </row>
    <row r="12" spans="1:15" x14ac:dyDescent="0.2">
      <c r="A12" s="28" t="s">
        <v>138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5"/>
    </row>
    <row r="13" spans="1:15" x14ac:dyDescent="0.2">
      <c r="A13" s="24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5"/>
    </row>
    <row r="14" spans="1:15" x14ac:dyDescent="0.2">
      <c r="A14" s="26" t="s">
        <v>47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5"/>
    </row>
    <row r="15" spans="1:15" x14ac:dyDescent="0.2">
      <c r="A15" s="27" t="s">
        <v>48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5"/>
    </row>
    <row r="16" spans="1:15" x14ac:dyDescent="0.2">
      <c r="A16" s="27" t="s">
        <v>49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5"/>
    </row>
    <row r="17" spans="1:15" x14ac:dyDescent="0.2">
      <c r="A17" s="24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5"/>
    </row>
    <row r="18" spans="1:15" x14ac:dyDescent="0.2">
      <c r="A18" s="26" t="s">
        <v>50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5"/>
    </row>
    <row r="19" spans="1:15" x14ac:dyDescent="0.2">
      <c r="A19" s="24" t="s">
        <v>51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5"/>
    </row>
    <row r="20" spans="1:15" ht="16" thickBot="1" x14ac:dyDescent="0.25">
      <c r="A20" s="29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1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F3783-5D81-4B44-B4B4-F036DBECA2B0}">
  <dimension ref="A1:Z108"/>
  <sheetViews>
    <sheetView workbookViewId="0"/>
  </sheetViews>
  <sheetFormatPr baseColWidth="10" defaultColWidth="9.1640625" defaultRowHeight="15" x14ac:dyDescent="0.2"/>
  <cols>
    <col min="1" max="1" width="10.6640625" style="75" customWidth="1"/>
    <col min="2" max="2" width="21.1640625" style="75" customWidth="1"/>
    <col min="3" max="6" width="10.6640625" style="75" customWidth="1"/>
    <col min="7" max="7" width="11" style="75" customWidth="1"/>
    <col min="8" max="8" width="12.6640625" style="75" customWidth="1"/>
    <col min="9" max="9" width="31.5" style="75" customWidth="1"/>
    <col min="10" max="10" width="15.6640625" style="75" customWidth="1"/>
    <col min="11" max="11" width="11.6640625" style="75" customWidth="1"/>
    <col min="12" max="13" width="9.1640625" style="75"/>
    <col min="14" max="19" width="10.6640625" style="75" customWidth="1"/>
    <col min="20" max="16384" width="9.1640625" style="75"/>
  </cols>
  <sheetData>
    <row r="1" spans="1:26" ht="16" thickBo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ht="20" thickBot="1" x14ac:dyDescent="0.3">
      <c r="A2" s="78"/>
      <c r="B2" s="214" t="s">
        <v>168</v>
      </c>
      <c r="C2" s="215"/>
      <c r="D2" s="215"/>
      <c r="E2" s="215"/>
      <c r="F2" s="215"/>
      <c r="G2" s="215"/>
      <c r="H2" s="215"/>
      <c r="I2" s="216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26" x14ac:dyDescent="0.2">
      <c r="A3" s="78"/>
      <c r="B3" s="140" t="s">
        <v>59</v>
      </c>
      <c r="C3" s="141" t="s">
        <v>20</v>
      </c>
      <c r="D3" s="141" t="s">
        <v>52</v>
      </c>
      <c r="E3" s="141" t="s">
        <v>12</v>
      </c>
      <c r="F3" s="142" t="s">
        <v>54</v>
      </c>
      <c r="G3" s="142" t="s">
        <v>14</v>
      </c>
      <c r="H3" s="142" t="s">
        <v>60</v>
      </c>
      <c r="I3" s="143" t="s">
        <v>55</v>
      </c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26" ht="16" thickBot="1" x14ac:dyDescent="0.25">
      <c r="A4" s="78"/>
      <c r="B4" s="95">
        <v>0</v>
      </c>
      <c r="C4" s="96">
        <v>0</v>
      </c>
      <c r="D4" s="96">
        <v>0</v>
      </c>
      <c r="E4" s="96">
        <v>0</v>
      </c>
      <c r="F4" s="97">
        <v>0</v>
      </c>
      <c r="G4" s="98">
        <v>0</v>
      </c>
      <c r="H4" s="98">
        <v>0</v>
      </c>
      <c r="I4" s="99">
        <v>0</v>
      </c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26" ht="16" thickBot="1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spans="1:26" ht="19" x14ac:dyDescent="0.25">
      <c r="A6" s="78"/>
      <c r="B6" s="217" t="s">
        <v>169</v>
      </c>
      <c r="C6" s="218"/>
      <c r="D6" s="219" t="s">
        <v>170</v>
      </c>
      <c r="E6" s="220"/>
      <c r="F6" s="221"/>
      <c r="G6" s="78"/>
      <c r="H6" s="1"/>
      <c r="I6" s="1"/>
      <c r="J6" s="1"/>
      <c r="K6" s="1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pans="1:26" x14ac:dyDescent="0.2">
      <c r="A7" s="78"/>
      <c r="B7" s="117" t="s">
        <v>2</v>
      </c>
      <c r="C7" s="118">
        <v>0</v>
      </c>
      <c r="D7" s="222" t="str">
        <f t="shared" ref="D7:D13" si="0">B7</f>
        <v>Income</v>
      </c>
      <c r="E7" s="223"/>
      <c r="F7" s="119">
        <f>F27</f>
        <v>0</v>
      </c>
      <c r="G7" s="78"/>
      <c r="H7" s="1"/>
      <c r="I7" s="1"/>
      <c r="J7" s="1"/>
      <c r="K7" s="1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</row>
    <row r="8" spans="1:26" x14ac:dyDescent="0.2">
      <c r="A8" s="78"/>
      <c r="B8" s="120" t="s">
        <v>12</v>
      </c>
      <c r="C8" s="121">
        <f>SUM(F66:F68)</f>
        <v>0</v>
      </c>
      <c r="D8" s="228" t="str">
        <f t="shared" si="0"/>
        <v>Savings</v>
      </c>
      <c r="E8" s="229"/>
      <c r="F8" s="122">
        <f>D65</f>
        <v>0</v>
      </c>
      <c r="G8" s="78"/>
      <c r="H8" s="1"/>
      <c r="I8" s="1"/>
      <c r="J8" s="1"/>
      <c r="K8" s="1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</row>
    <row r="9" spans="1:26" x14ac:dyDescent="0.2">
      <c r="A9" s="78"/>
      <c r="B9" s="123" t="s">
        <v>120</v>
      </c>
      <c r="C9" s="124">
        <f>SUM(F72:F73)</f>
        <v>0</v>
      </c>
      <c r="D9" s="232" t="str">
        <f t="shared" si="0"/>
        <v>Tithing</v>
      </c>
      <c r="E9" s="232"/>
      <c r="F9" s="125">
        <f>D71</f>
        <v>0</v>
      </c>
      <c r="G9" s="78"/>
      <c r="H9" s="1"/>
      <c r="I9" s="1"/>
      <c r="J9" s="1"/>
      <c r="K9" s="1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</row>
    <row r="10" spans="1:26" x14ac:dyDescent="0.2">
      <c r="A10" s="78"/>
      <c r="B10" s="126" t="s">
        <v>14</v>
      </c>
      <c r="C10" s="127">
        <f>SUM(F77:F79)</f>
        <v>0</v>
      </c>
      <c r="D10" s="230" t="str">
        <f t="shared" si="0"/>
        <v>Debt</v>
      </c>
      <c r="E10" s="231"/>
      <c r="F10" s="128">
        <f>D76</f>
        <v>0</v>
      </c>
      <c r="G10" s="78"/>
      <c r="H10" s="1"/>
      <c r="I10" s="1"/>
      <c r="J10" s="1"/>
      <c r="K10" s="1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</row>
    <row r="11" spans="1:26" x14ac:dyDescent="0.2">
      <c r="A11" s="78"/>
      <c r="B11" s="129" t="s">
        <v>124</v>
      </c>
      <c r="C11" s="130">
        <f>C7-C8-C9-C10</f>
        <v>0</v>
      </c>
      <c r="D11" s="131" t="str">
        <f t="shared" si="0"/>
        <v>Budgeted</v>
      </c>
      <c r="E11" s="132"/>
      <c r="F11" s="133">
        <f>F7-F8-F9-F10</f>
        <v>0</v>
      </c>
      <c r="G11" s="78"/>
      <c r="H11" s="1"/>
      <c r="I11" s="1"/>
      <c r="J11" s="1"/>
      <c r="K11" s="1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</row>
    <row r="12" spans="1:26" x14ac:dyDescent="0.2">
      <c r="A12" s="78"/>
      <c r="B12" s="134" t="s">
        <v>0</v>
      </c>
      <c r="C12" s="135">
        <f>F62</f>
        <v>0</v>
      </c>
      <c r="D12" s="224" t="str">
        <f t="shared" si="0"/>
        <v>Expenses</v>
      </c>
      <c r="E12" s="225"/>
      <c r="F12" s="136">
        <f>E62</f>
        <v>0</v>
      </c>
      <c r="G12" s="78"/>
      <c r="H12" s="1"/>
      <c r="I12" s="1"/>
      <c r="J12" s="1"/>
      <c r="K12" s="1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</row>
    <row r="13" spans="1:26" ht="16" thickBot="1" x14ac:dyDescent="0.25">
      <c r="A13" s="78"/>
      <c r="B13" s="137" t="s">
        <v>123</v>
      </c>
      <c r="C13" s="138">
        <f>C11-C12</f>
        <v>0</v>
      </c>
      <c r="D13" s="226" t="str">
        <f t="shared" si="0"/>
        <v>Remaining</v>
      </c>
      <c r="E13" s="227"/>
      <c r="F13" s="139">
        <f>F11-F12</f>
        <v>0</v>
      </c>
      <c r="G13" s="78"/>
      <c r="H13" s="1"/>
      <c r="I13" s="1"/>
      <c r="J13" s="1"/>
      <c r="K13" s="1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</row>
    <row r="14" spans="1:26" ht="16" thickBot="1" x14ac:dyDescent="0.25">
      <c r="A14" s="78"/>
      <c r="B14" s="78"/>
      <c r="C14" s="78"/>
      <c r="D14" s="78"/>
      <c r="E14" s="78"/>
      <c r="F14" s="78"/>
      <c r="G14" s="78"/>
      <c r="H14" s="1"/>
      <c r="I14" s="1"/>
      <c r="J14" s="1"/>
      <c r="K14" s="1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</row>
    <row r="15" spans="1:26" ht="20" thickBot="1" x14ac:dyDescent="0.3">
      <c r="A15" s="78"/>
      <c r="B15" s="214" t="s">
        <v>171</v>
      </c>
      <c r="C15" s="215"/>
      <c r="D15" s="215"/>
      <c r="E15" s="215"/>
      <c r="F15" s="216"/>
      <c r="G15" s="78"/>
      <c r="H15" s="1"/>
      <c r="I15" s="1"/>
      <c r="J15" s="1"/>
      <c r="K15" s="1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</row>
    <row r="16" spans="1:26" ht="17" thickBot="1" x14ac:dyDescent="0.25">
      <c r="A16" s="78"/>
      <c r="B16" s="63" t="s">
        <v>2</v>
      </c>
      <c r="C16" s="64"/>
      <c r="D16" s="65"/>
      <c r="E16" s="65"/>
      <c r="F16" s="66"/>
      <c r="G16" s="78"/>
      <c r="H16" s="1"/>
      <c r="I16" s="1"/>
      <c r="J16" s="1"/>
      <c r="K16" s="1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</row>
    <row r="17" spans="1:26" x14ac:dyDescent="0.2">
      <c r="A17" s="78"/>
      <c r="B17" s="4"/>
      <c r="C17" s="2"/>
      <c r="D17" s="2"/>
      <c r="E17" s="2"/>
      <c r="F17" s="62"/>
      <c r="G17" s="78"/>
      <c r="H17" s="1"/>
      <c r="I17" s="1"/>
      <c r="J17" s="1"/>
      <c r="K17" s="1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</row>
    <row r="18" spans="1:26" x14ac:dyDescent="0.2">
      <c r="A18" s="78"/>
      <c r="B18" s="4"/>
      <c r="C18" s="2"/>
      <c r="D18" s="2"/>
      <c r="E18" s="2"/>
      <c r="F18" s="55"/>
      <c r="G18" s="78"/>
      <c r="H18" s="1"/>
      <c r="I18" s="1"/>
      <c r="J18" s="1"/>
      <c r="K18" s="1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</row>
    <row r="19" spans="1:26" ht="16" thickBot="1" x14ac:dyDescent="0.25">
      <c r="A19" s="78"/>
      <c r="B19" s="4"/>
      <c r="C19" s="2"/>
      <c r="D19" s="2"/>
      <c r="E19" s="2"/>
      <c r="F19" s="55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</row>
    <row r="20" spans="1:26" ht="20" thickBot="1" x14ac:dyDescent="0.3">
      <c r="A20" s="78"/>
      <c r="B20" s="4"/>
      <c r="C20" s="2"/>
      <c r="D20" s="2"/>
      <c r="E20" s="2"/>
      <c r="F20" s="55"/>
      <c r="G20" s="78"/>
      <c r="H20" s="214" t="s">
        <v>177</v>
      </c>
      <c r="I20" s="215"/>
      <c r="J20" s="215"/>
      <c r="K20" s="216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</row>
    <row r="21" spans="1:26" x14ac:dyDescent="0.2">
      <c r="A21" s="78"/>
      <c r="B21" s="4"/>
      <c r="C21" s="2"/>
      <c r="D21" s="2"/>
      <c r="E21" s="2"/>
      <c r="F21" s="55"/>
      <c r="G21" s="78"/>
      <c r="H21" s="76" t="s">
        <v>5</v>
      </c>
      <c r="I21" s="76" t="s">
        <v>7</v>
      </c>
      <c r="J21" s="76" t="s">
        <v>8</v>
      </c>
      <c r="K21" s="77" t="s">
        <v>6</v>
      </c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</row>
    <row r="22" spans="1:26" x14ac:dyDescent="0.2">
      <c r="A22" s="78"/>
      <c r="B22" s="4"/>
      <c r="C22" s="2"/>
      <c r="D22" s="2"/>
      <c r="E22" s="2"/>
      <c r="F22" s="55"/>
      <c r="G22" s="78"/>
      <c r="H22" s="79"/>
      <c r="I22" s="76"/>
      <c r="J22" s="76"/>
      <c r="K22" s="77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</row>
    <row r="23" spans="1:26" x14ac:dyDescent="0.2">
      <c r="A23" s="78"/>
      <c r="B23" s="4"/>
      <c r="C23" s="2"/>
      <c r="D23" s="2"/>
      <c r="E23" s="2"/>
      <c r="F23" s="55"/>
      <c r="G23" s="78"/>
      <c r="H23" s="79"/>
      <c r="I23" s="76"/>
      <c r="J23" s="76"/>
      <c r="K23" s="77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</row>
    <row r="24" spans="1:26" x14ac:dyDescent="0.2">
      <c r="A24" s="78"/>
      <c r="B24" s="4"/>
      <c r="C24" s="2"/>
      <c r="D24" s="2"/>
      <c r="E24" s="2"/>
      <c r="F24" s="55"/>
      <c r="G24" s="78"/>
      <c r="H24" s="79"/>
      <c r="I24" s="76"/>
      <c r="J24" s="76"/>
      <c r="K24" s="77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</row>
    <row r="25" spans="1:26" x14ac:dyDescent="0.2">
      <c r="A25" s="78"/>
      <c r="B25" s="4"/>
      <c r="C25" s="2"/>
      <c r="D25" s="2"/>
      <c r="E25" s="2"/>
      <c r="F25" s="55"/>
      <c r="G25" s="78"/>
      <c r="H25" s="79"/>
      <c r="I25" s="76"/>
      <c r="J25" s="76"/>
      <c r="K25" s="77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</row>
    <row r="26" spans="1:26" x14ac:dyDescent="0.2">
      <c r="A26" s="78"/>
      <c r="B26" s="5"/>
      <c r="C26" s="2"/>
      <c r="D26" s="2"/>
      <c r="E26" s="2"/>
      <c r="F26" s="56"/>
      <c r="G26" s="78"/>
      <c r="H26" s="79"/>
      <c r="I26" s="76"/>
      <c r="J26" s="76"/>
      <c r="K26" s="77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</row>
    <row r="27" spans="1:26" s="41" customFormat="1" ht="16" thickBot="1" x14ac:dyDescent="0.25">
      <c r="A27" s="78"/>
      <c r="B27" s="6" t="s">
        <v>3</v>
      </c>
      <c r="C27" s="7"/>
      <c r="D27" s="58"/>
      <c r="E27" s="58"/>
      <c r="F27" s="57">
        <f>SUM(F17:F26)</f>
        <v>0</v>
      </c>
      <c r="G27" s="78"/>
      <c r="H27" s="79"/>
      <c r="I27" s="76"/>
      <c r="J27" s="76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</row>
    <row r="28" spans="1:26" ht="16" thickBot="1" x14ac:dyDescent="0.25">
      <c r="A28" s="78"/>
      <c r="B28" s="59"/>
      <c r="C28" s="60"/>
      <c r="D28" s="60"/>
      <c r="E28" s="60"/>
      <c r="F28" s="61"/>
      <c r="G28" s="78"/>
      <c r="H28" s="79"/>
      <c r="I28" s="76"/>
      <c r="J28" s="76"/>
      <c r="K28" s="77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</row>
    <row r="29" spans="1:26" ht="17" thickBot="1" x14ac:dyDescent="0.25">
      <c r="A29" s="78"/>
      <c r="B29" s="51" t="s">
        <v>0</v>
      </c>
      <c r="C29" s="49"/>
      <c r="D29" s="49"/>
      <c r="E29" s="49"/>
      <c r="F29" s="68" t="s">
        <v>1</v>
      </c>
      <c r="G29" s="78"/>
      <c r="H29" s="79"/>
      <c r="I29" s="76"/>
      <c r="J29" s="76"/>
      <c r="K29" s="77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</row>
    <row r="30" spans="1:26" x14ac:dyDescent="0.2">
      <c r="A30" s="78"/>
      <c r="B30" s="67" t="s">
        <v>87</v>
      </c>
      <c r="C30" s="72" t="e">
        <f>(D31+D34+D40+D46)/(E81+E62)</f>
        <v>#DIV/0!</v>
      </c>
      <c r="D30" s="71"/>
      <c r="E30" s="89"/>
      <c r="F30" s="91"/>
      <c r="G30" s="78"/>
      <c r="H30" s="79"/>
      <c r="I30" s="76"/>
      <c r="J30" s="76"/>
      <c r="K30" s="77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</row>
    <row r="31" spans="1:26" x14ac:dyDescent="0.2">
      <c r="A31" s="78"/>
      <c r="B31" s="81" t="s">
        <v>37</v>
      </c>
      <c r="C31" s="3"/>
      <c r="D31" s="92">
        <f>SUM(E32:E33)</f>
        <v>0</v>
      </c>
      <c r="E31" s="3"/>
      <c r="F31" s="87">
        <f>SUM(F32:F33)</f>
        <v>0</v>
      </c>
      <c r="G31" s="78"/>
      <c r="H31" s="79"/>
      <c r="I31" s="76"/>
      <c r="J31" s="76"/>
      <c r="K31" s="77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</row>
    <row r="32" spans="1:26" x14ac:dyDescent="0.2">
      <c r="A32" s="78"/>
      <c r="B32" s="46" t="s">
        <v>62</v>
      </c>
      <c r="C32" s="3"/>
      <c r="D32" s="3"/>
      <c r="E32" s="3">
        <f>SUMIF(Table4491423420[Category],"Rent",Table4491423420[Amount])</f>
        <v>0</v>
      </c>
      <c r="F32" s="84"/>
      <c r="G32" s="78"/>
      <c r="H32" s="79"/>
      <c r="I32" s="76"/>
      <c r="J32" s="76"/>
      <c r="K32" s="77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</row>
    <row r="33" spans="1:26" x14ac:dyDescent="0.2">
      <c r="A33" s="78"/>
      <c r="B33" s="46" t="s">
        <v>38</v>
      </c>
      <c r="C33" s="3"/>
      <c r="D33" s="3"/>
      <c r="E33" s="3">
        <f>SUMIF(Table4491423420[Category],"Utilities",Table4491423420[Amount])</f>
        <v>0</v>
      </c>
      <c r="F33" s="84"/>
      <c r="G33" s="78"/>
      <c r="H33" s="79"/>
      <c r="I33" s="76"/>
      <c r="J33" s="76"/>
      <c r="K33" s="77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</row>
    <row r="34" spans="1:26" x14ac:dyDescent="0.2">
      <c r="A34" s="78"/>
      <c r="B34" s="47" t="s">
        <v>39</v>
      </c>
      <c r="C34" s="3"/>
      <c r="D34" s="92">
        <f>SUM(E35:E39)</f>
        <v>0</v>
      </c>
      <c r="E34" s="3"/>
      <c r="F34" s="87">
        <f>SUM(F35:F39)</f>
        <v>0</v>
      </c>
      <c r="G34" s="78"/>
      <c r="H34" s="79"/>
      <c r="I34" s="76"/>
      <c r="J34" s="76"/>
      <c r="K34" s="77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</row>
    <row r="35" spans="1:26" ht="15.75" customHeight="1" x14ac:dyDescent="0.2">
      <c r="A35" s="78"/>
      <c r="B35" s="46" t="s">
        <v>82</v>
      </c>
      <c r="C35" s="3"/>
      <c r="D35" s="3"/>
      <c r="E35" s="3">
        <f>SUMIF(Table4491423420[Category],"Restaurants",Table4491423420[Amount])</f>
        <v>0</v>
      </c>
      <c r="F35" s="84"/>
      <c r="G35" s="78"/>
      <c r="H35" s="79"/>
      <c r="I35" s="76"/>
      <c r="J35" s="76"/>
      <c r="K35" s="77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</row>
    <row r="36" spans="1:26" ht="14.25" customHeight="1" x14ac:dyDescent="0.2">
      <c r="A36" s="78"/>
      <c r="B36" s="46" t="s">
        <v>63</v>
      </c>
      <c r="C36" s="3"/>
      <c r="D36" s="3"/>
      <c r="E36" s="3">
        <f>SUMIF(Table4491423420[Category],"Fast Food",Table4491423420[Amount])</f>
        <v>0</v>
      </c>
      <c r="F36" s="84"/>
      <c r="G36" s="78"/>
      <c r="H36" s="79"/>
      <c r="I36" s="76"/>
      <c r="J36" s="76"/>
      <c r="K36" s="77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</row>
    <row r="37" spans="1:26" x14ac:dyDescent="0.2">
      <c r="A37" s="78"/>
      <c r="B37" s="46" t="s">
        <v>64</v>
      </c>
      <c r="C37" s="3"/>
      <c r="D37" s="3"/>
      <c r="E37" s="3">
        <f>SUMIF(Table4491423420[Category],"Groceries",Table4491423420[Amount])</f>
        <v>0</v>
      </c>
      <c r="F37" s="84"/>
      <c r="G37" s="78"/>
      <c r="H37" s="79"/>
      <c r="I37" s="76"/>
      <c r="J37" s="76"/>
      <c r="K37" s="77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</row>
    <row r="38" spans="1:26" x14ac:dyDescent="0.2">
      <c r="A38" s="78"/>
      <c r="B38" s="46" t="s">
        <v>65</v>
      </c>
      <c r="C38" s="3"/>
      <c r="D38" s="3"/>
      <c r="E38" s="3">
        <f>SUMIF(Table4491423420[Category],"Coffee",Table4491423420[Amount])</f>
        <v>0</v>
      </c>
      <c r="F38" s="84"/>
      <c r="G38" s="78"/>
      <c r="H38" s="79"/>
      <c r="I38" s="76"/>
      <c r="J38" s="76"/>
      <c r="K38" s="77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</row>
    <row r="39" spans="1:26" x14ac:dyDescent="0.2">
      <c r="A39" s="78"/>
      <c r="B39" s="46" t="s">
        <v>66</v>
      </c>
      <c r="C39" s="3"/>
      <c r="D39" s="3"/>
      <c r="E39" s="3">
        <f>SUMIF(Table4491423420[Category],"Bars",Table4491423420[Amount])</f>
        <v>0</v>
      </c>
      <c r="F39" s="84"/>
      <c r="G39" s="78"/>
      <c r="H39" s="79"/>
      <c r="I39" s="76"/>
      <c r="J39" s="76"/>
      <c r="K39" s="77"/>
      <c r="L39" s="78"/>
      <c r="M39" s="78"/>
      <c r="N39" s="37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spans="1:26" x14ac:dyDescent="0.2">
      <c r="A40" s="78"/>
      <c r="B40" s="48" t="s">
        <v>67</v>
      </c>
      <c r="C40" s="44"/>
      <c r="D40" s="93">
        <f>SUM(E41:E45)</f>
        <v>0</v>
      </c>
      <c r="E40" s="3"/>
      <c r="F40" s="88">
        <f>SUM(F41:F45)</f>
        <v>0</v>
      </c>
      <c r="G40" s="78"/>
      <c r="H40" s="79"/>
      <c r="I40" s="76"/>
      <c r="J40" s="76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spans="1:26" x14ac:dyDescent="0.2">
      <c r="A41" s="1"/>
      <c r="B41" s="46" t="s">
        <v>42</v>
      </c>
      <c r="C41" s="3"/>
      <c r="D41" s="3"/>
      <c r="E41" s="3">
        <f>SUMIF(Table4491423420[Category],"Gas",Table4491423420[Amount])</f>
        <v>0</v>
      </c>
      <c r="F41" s="84"/>
      <c r="G41" s="78"/>
      <c r="H41" s="79"/>
      <c r="I41" s="76"/>
      <c r="K41" s="77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</row>
    <row r="42" spans="1:26" x14ac:dyDescent="0.2">
      <c r="A42" s="1"/>
      <c r="B42" s="46" t="s">
        <v>68</v>
      </c>
      <c r="C42" s="116"/>
      <c r="D42" s="116"/>
      <c r="E42" s="3">
        <f>SUMIF(Table4491423420[Category],"Insurance",Table4491423420[Amount])</f>
        <v>0</v>
      </c>
      <c r="F42" s="84"/>
      <c r="G42" s="78"/>
      <c r="H42" s="79"/>
      <c r="J42" s="76"/>
      <c r="K42" s="77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</row>
    <row r="43" spans="1:26" x14ac:dyDescent="0.2">
      <c r="A43" s="18"/>
      <c r="B43" s="46" t="s">
        <v>83</v>
      </c>
      <c r="C43" s="116"/>
      <c r="D43" s="116"/>
      <c r="E43" s="3">
        <f>SUMIF(Table4491423420[Category],"Maintenance",Table4491423420[Amount])</f>
        <v>0</v>
      </c>
      <c r="F43" s="84"/>
      <c r="G43" s="78"/>
      <c r="H43" s="79"/>
      <c r="I43" s="76"/>
      <c r="J43" s="76"/>
      <c r="K43" s="77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</row>
    <row r="44" spans="1:26" x14ac:dyDescent="0.2">
      <c r="A44" s="43"/>
      <c r="B44" s="46" t="s">
        <v>69</v>
      </c>
      <c r="C44" s="116"/>
      <c r="D44" s="116"/>
      <c r="E44" s="3">
        <f>SUMIF(Table4491423420[Category],"Parking",Table4491423420[Amount])</f>
        <v>0</v>
      </c>
      <c r="F44" s="84"/>
      <c r="G44" s="78"/>
      <c r="H44" s="79"/>
      <c r="I44" s="76"/>
      <c r="J44" s="76"/>
      <c r="K44" s="77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</row>
    <row r="45" spans="1:26" x14ac:dyDescent="0.2">
      <c r="A45" s="78"/>
      <c r="B45" s="46" t="s">
        <v>40</v>
      </c>
      <c r="C45" s="116"/>
      <c r="D45" s="116"/>
      <c r="E45" s="3">
        <f>SUMIF(Table4491423420[Category],"Uber",Table4491423420[Amount])</f>
        <v>0</v>
      </c>
      <c r="F45" s="84"/>
      <c r="G45" s="78"/>
      <c r="H45" s="79"/>
      <c r="I45" s="76"/>
      <c r="J45" s="76"/>
      <c r="K45" s="77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</row>
    <row r="46" spans="1:26" x14ac:dyDescent="0.2">
      <c r="A46" s="1"/>
      <c r="B46" s="81" t="s">
        <v>70</v>
      </c>
      <c r="C46" s="116"/>
      <c r="D46" s="94">
        <f>SUM(E47:E48)</f>
        <v>0</v>
      </c>
      <c r="E46" s="3"/>
      <c r="F46" s="87">
        <f>SUM(F47:F48)</f>
        <v>0</v>
      </c>
      <c r="G46" s="78"/>
      <c r="H46" s="79"/>
      <c r="I46" s="76"/>
      <c r="J46" s="76"/>
      <c r="K46" s="77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</row>
    <row r="47" spans="1:26" x14ac:dyDescent="0.2">
      <c r="A47" s="1"/>
      <c r="B47" s="46" t="s">
        <v>44</v>
      </c>
      <c r="C47" s="116"/>
      <c r="D47" s="116"/>
      <c r="E47" s="3">
        <f>SUMIF(Table4491423420[Category],"Tuition",Table4491423420[Amount])</f>
        <v>0</v>
      </c>
      <c r="F47" s="84"/>
      <c r="G47" s="78"/>
      <c r="H47" s="79"/>
      <c r="I47" s="76"/>
      <c r="J47" s="76"/>
      <c r="K47" s="77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</row>
    <row r="48" spans="1:26" x14ac:dyDescent="0.2">
      <c r="A48" s="1"/>
      <c r="B48" s="46" t="s">
        <v>71</v>
      </c>
      <c r="C48" s="116"/>
      <c r="D48" s="116"/>
      <c r="E48" s="3">
        <f>SUMIF(Table4491423420[Category],"Books",Table4491423420[Amount])</f>
        <v>0</v>
      </c>
      <c r="F48" s="84"/>
      <c r="G48" s="78"/>
      <c r="H48" s="79"/>
      <c r="I48" s="76"/>
      <c r="J48" s="76"/>
      <c r="K48" s="77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</row>
    <row r="49" spans="1:26" x14ac:dyDescent="0.2">
      <c r="A49" s="1"/>
      <c r="B49" s="46"/>
      <c r="C49" s="116"/>
      <c r="D49" s="116"/>
      <c r="E49" s="3"/>
      <c r="F49" s="84"/>
      <c r="G49" s="78"/>
      <c r="H49" s="79"/>
      <c r="I49" s="76"/>
      <c r="J49" s="76"/>
      <c r="K49" s="77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</row>
    <row r="50" spans="1:26" x14ac:dyDescent="0.2">
      <c r="A50" s="1"/>
      <c r="B50" s="46"/>
      <c r="C50" s="116"/>
      <c r="D50" s="116"/>
      <c r="E50" s="3"/>
      <c r="F50" s="84"/>
      <c r="G50" s="78"/>
      <c r="H50" s="79"/>
      <c r="I50" s="76"/>
      <c r="J50" s="76"/>
      <c r="K50" s="77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</row>
    <row r="51" spans="1:26" x14ac:dyDescent="0.2">
      <c r="A51" s="1"/>
      <c r="B51" s="50" t="s">
        <v>121</v>
      </c>
      <c r="C51" s="73" t="e">
        <f>(D52+D55+D60)/(E81+E62)</f>
        <v>#DIV/0!</v>
      </c>
      <c r="D51" s="116"/>
      <c r="E51" s="3"/>
      <c r="F51" s="84"/>
      <c r="G51" s="78"/>
      <c r="H51" s="79"/>
      <c r="I51" s="76"/>
      <c r="J51" s="76"/>
      <c r="K51" s="77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</row>
    <row r="52" spans="1:26" x14ac:dyDescent="0.2">
      <c r="A52" s="1"/>
      <c r="B52" s="81" t="s">
        <v>41</v>
      </c>
      <c r="C52" s="116"/>
      <c r="D52" s="94">
        <f>SUM(E53:E54)</f>
        <v>0</v>
      </c>
      <c r="E52" s="3"/>
      <c r="F52" s="87">
        <f>SUM(F53:F54)</f>
        <v>0</v>
      </c>
      <c r="G52" s="78"/>
      <c r="H52" s="79"/>
      <c r="I52" s="76"/>
      <c r="J52" s="76"/>
      <c r="K52" s="77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</row>
    <row r="53" spans="1:26" x14ac:dyDescent="0.2">
      <c r="A53" s="1"/>
      <c r="B53" s="46" t="s">
        <v>72</v>
      </c>
      <c r="C53" s="116"/>
      <c r="D53" s="116"/>
      <c r="E53" s="3">
        <f>SUMIF(Table4491423420[Category],"Subscription",Table4491423420[Amount])</f>
        <v>0</v>
      </c>
      <c r="F53" s="84"/>
      <c r="G53" s="78"/>
      <c r="H53" s="79"/>
      <c r="I53" s="76"/>
      <c r="J53" s="76"/>
      <c r="K53" s="77"/>
      <c r="L53" s="78"/>
      <c r="M53" s="86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</row>
    <row r="54" spans="1:26" x14ac:dyDescent="0.2">
      <c r="A54" s="1"/>
      <c r="B54" s="46" t="s">
        <v>84</v>
      </c>
      <c r="C54" s="116"/>
      <c r="D54" s="116"/>
      <c r="E54" s="3">
        <f>SUMIF(Table4491423420[Category],"Events",Table4491423420[Amount])</f>
        <v>0</v>
      </c>
      <c r="F54" s="84"/>
      <c r="G54" s="78"/>
      <c r="H54" s="79"/>
      <c r="I54" s="76"/>
      <c r="J54" s="76"/>
      <c r="K54" s="77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</row>
    <row r="55" spans="1:26" x14ac:dyDescent="0.2">
      <c r="A55" s="1"/>
      <c r="B55" s="81" t="s">
        <v>73</v>
      </c>
      <c r="C55" s="116"/>
      <c r="D55" s="94">
        <f>SUM(E56:E59)</f>
        <v>0</v>
      </c>
      <c r="E55" s="3"/>
      <c r="F55" s="87">
        <f>SUM(F56:F59)</f>
        <v>0</v>
      </c>
      <c r="G55" s="78"/>
      <c r="H55" s="79"/>
      <c r="I55" s="76"/>
      <c r="J55" s="76"/>
      <c r="K55" s="77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</row>
    <row r="56" spans="1:26" x14ac:dyDescent="0.2">
      <c r="A56" s="1"/>
      <c r="B56" s="46" t="s">
        <v>74</v>
      </c>
      <c r="C56" s="116"/>
      <c r="D56" s="116"/>
      <c r="E56" s="3">
        <f>SUMIF(Table4491423420[Category],"Clothes",Table4491423420[Amount])</f>
        <v>0</v>
      </c>
      <c r="F56" s="84"/>
      <c r="G56" s="78"/>
      <c r="H56" s="79"/>
      <c r="I56" s="76"/>
      <c r="J56" s="76"/>
      <c r="K56" s="77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</row>
    <row r="57" spans="1:26" ht="17" thickBot="1" x14ac:dyDescent="0.25">
      <c r="A57" s="1"/>
      <c r="B57" s="46" t="s">
        <v>75</v>
      </c>
      <c r="C57" s="116"/>
      <c r="D57" s="116"/>
      <c r="E57" s="3">
        <f>SUMIF(Table4491423420[Category],"Accessories",Table4491423420[Amount])</f>
        <v>0</v>
      </c>
      <c r="F57" s="84"/>
      <c r="G57" s="78"/>
      <c r="H57" s="12" t="s">
        <v>172</v>
      </c>
      <c r="I57" s="9"/>
      <c r="J57" s="9"/>
      <c r="K57" s="10">
        <f>SUM(K22:K56)</f>
        <v>0</v>
      </c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</row>
    <row r="58" spans="1:26" x14ac:dyDescent="0.2">
      <c r="A58" s="1"/>
      <c r="B58" s="46" t="s">
        <v>76</v>
      </c>
      <c r="C58" s="116"/>
      <c r="D58" s="116"/>
      <c r="E58" s="3">
        <f>SUMIF(Table4491423420[Category],"Gifts",Table4491423420[Amount])</f>
        <v>0</v>
      </c>
      <c r="F58" s="84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</row>
    <row r="59" spans="1:26" ht="16" thickBot="1" x14ac:dyDescent="0.25">
      <c r="A59" s="78"/>
      <c r="B59" s="46" t="s">
        <v>81</v>
      </c>
      <c r="C59" s="116"/>
      <c r="D59" s="116"/>
      <c r="E59" s="3">
        <f>SUMIF(Table4491423420[Category],"Cosmetics",Table4491423420[Amount])</f>
        <v>0</v>
      </c>
      <c r="F59" s="84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</row>
    <row r="60" spans="1:26" x14ac:dyDescent="0.2">
      <c r="A60" s="78"/>
      <c r="B60" s="81" t="s">
        <v>77</v>
      </c>
      <c r="C60" s="116"/>
      <c r="D60" s="94">
        <f>SUMIF(Table4491423420[Category],"Hobbies",Table4491423420[Amount])</f>
        <v>0</v>
      </c>
      <c r="E60" s="3"/>
      <c r="F60" s="87">
        <v>0</v>
      </c>
      <c r="G60" s="78"/>
      <c r="H60" s="145" t="s">
        <v>103</v>
      </c>
      <c r="I60" s="146"/>
      <c r="J60" s="146"/>
      <c r="K60" s="147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</row>
    <row r="61" spans="1:26" x14ac:dyDescent="0.2">
      <c r="A61" s="78"/>
      <c r="B61" s="81"/>
      <c r="C61" s="116"/>
      <c r="D61" s="74"/>
      <c r="E61" s="3"/>
      <c r="F61" s="84"/>
      <c r="G61" s="78"/>
      <c r="H61" s="190"/>
      <c r="I61" s="149"/>
      <c r="J61" s="149"/>
      <c r="K61" s="150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</row>
    <row r="62" spans="1:26" ht="16" thickBot="1" x14ac:dyDescent="0.25">
      <c r="A62" s="78"/>
      <c r="B62" s="83" t="s">
        <v>4</v>
      </c>
      <c r="C62" s="82"/>
      <c r="D62" s="82"/>
      <c r="E62" s="90">
        <f>SUM(D31,D34,D40,D46,D52,D55,D60)</f>
        <v>0</v>
      </c>
      <c r="F62" s="85">
        <f>SUM(F31,F34,F40,F46,F52,F55,F60)</f>
        <v>0</v>
      </c>
      <c r="G62" s="78"/>
      <c r="H62" s="190"/>
      <c r="I62" s="149"/>
      <c r="J62" s="149"/>
      <c r="K62" s="150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</row>
    <row r="63" spans="1:26" x14ac:dyDescent="0.2">
      <c r="A63" s="78"/>
      <c r="B63" s="100"/>
      <c r="C63" s="101"/>
      <c r="D63" s="101"/>
      <c r="E63" s="102"/>
      <c r="F63" s="84"/>
      <c r="G63" s="78"/>
      <c r="H63" s="144"/>
      <c r="I63" s="149"/>
      <c r="J63" s="149"/>
      <c r="K63" s="150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</row>
    <row r="64" spans="1:26" x14ac:dyDescent="0.2">
      <c r="A64" s="78"/>
      <c r="B64" s="103" t="s">
        <v>85</v>
      </c>
      <c r="C64" s="104" t="e">
        <f>(D65)/(E81+E62)</f>
        <v>#DIV/0!</v>
      </c>
      <c r="D64" s="101"/>
      <c r="E64" s="102"/>
      <c r="F64" s="84"/>
      <c r="G64" s="78"/>
      <c r="H64" s="144"/>
      <c r="I64" s="149"/>
      <c r="J64" s="149"/>
      <c r="K64" s="150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</row>
    <row r="65" spans="1:26" x14ac:dyDescent="0.2">
      <c r="A65" s="78"/>
      <c r="B65" s="105" t="s">
        <v>94</v>
      </c>
      <c r="C65" s="101"/>
      <c r="D65" s="106">
        <f>SUM(E66:E68)</f>
        <v>0</v>
      </c>
      <c r="E65" s="102"/>
      <c r="F65" s="87">
        <f>SUM(F66:F68)</f>
        <v>0</v>
      </c>
      <c r="G65" s="78"/>
      <c r="H65" s="144"/>
      <c r="I65" s="149"/>
      <c r="J65" s="149"/>
      <c r="K65" s="150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</row>
    <row r="66" spans="1:26" x14ac:dyDescent="0.2">
      <c r="A66" s="78"/>
      <c r="B66" s="107" t="s">
        <v>88</v>
      </c>
      <c r="C66" s="101"/>
      <c r="D66" s="101"/>
      <c r="E66" s="102">
        <f>SUMIF(Table4491423420[Category],"Emergency Fund",Table4491423420[Amount])</f>
        <v>0</v>
      </c>
      <c r="F66" s="84"/>
      <c r="G66" s="78"/>
      <c r="H66" s="144"/>
      <c r="I66" s="149"/>
      <c r="J66" s="149"/>
      <c r="K66" s="150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</row>
    <row r="67" spans="1:26" x14ac:dyDescent="0.2">
      <c r="A67" s="78"/>
      <c r="B67" s="107" t="s">
        <v>55</v>
      </c>
      <c r="C67" s="101"/>
      <c r="D67" s="101"/>
      <c r="E67" s="102">
        <f>SUMIF(Table4491423420[Category],"Retirement",Table4491423420[Amount])</f>
        <v>0</v>
      </c>
      <c r="F67" s="84"/>
      <c r="G67" s="78"/>
      <c r="H67" s="144"/>
      <c r="I67" s="149"/>
      <c r="J67" s="149"/>
      <c r="K67" s="150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</row>
    <row r="68" spans="1:26" ht="14.25" customHeight="1" x14ac:dyDescent="0.2">
      <c r="A68" s="78"/>
      <c r="B68" s="107" t="s">
        <v>53</v>
      </c>
      <c r="C68" s="101"/>
      <c r="D68" s="101"/>
      <c r="E68" s="102">
        <f>SUMIF(Table4491423420[Category],"Investment",Table4491423420[Amount])</f>
        <v>0</v>
      </c>
      <c r="F68" s="84"/>
      <c r="G68" s="78"/>
      <c r="H68" s="144"/>
      <c r="I68" s="149"/>
      <c r="J68" s="149"/>
      <c r="K68" s="150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</row>
    <row r="69" spans="1:26" x14ac:dyDescent="0.2">
      <c r="A69" s="78"/>
      <c r="B69" s="100"/>
      <c r="C69" s="101"/>
      <c r="D69" s="101"/>
      <c r="E69" s="102"/>
      <c r="F69" s="84"/>
      <c r="G69" s="78"/>
      <c r="H69" s="144"/>
      <c r="I69" s="149"/>
      <c r="J69" s="149"/>
      <c r="K69" s="150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</row>
    <row r="70" spans="1:26" x14ac:dyDescent="0.2">
      <c r="A70" s="78"/>
      <c r="B70" s="103" t="s">
        <v>86</v>
      </c>
      <c r="C70" s="104" t="e">
        <f>D71/(E81+E62)</f>
        <v>#DIV/0!</v>
      </c>
      <c r="D70" s="101"/>
      <c r="E70" s="102"/>
      <c r="F70" s="84"/>
      <c r="G70" s="78"/>
      <c r="H70" s="144"/>
      <c r="I70" s="149"/>
      <c r="J70" s="149"/>
      <c r="K70" s="150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</row>
    <row r="71" spans="1:26" x14ac:dyDescent="0.2">
      <c r="A71" s="52"/>
      <c r="B71" s="105" t="s">
        <v>95</v>
      </c>
      <c r="C71" s="108"/>
      <c r="D71" s="106">
        <f>SUM(E72:E73)</f>
        <v>0</v>
      </c>
      <c r="E71" s="109"/>
      <c r="F71" s="87">
        <f>SUM(F72:F73)</f>
        <v>0</v>
      </c>
      <c r="G71" s="78"/>
      <c r="H71" s="144"/>
      <c r="I71" s="149"/>
      <c r="J71" s="149"/>
      <c r="K71" s="150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</row>
    <row r="72" spans="1:26" x14ac:dyDescent="0.2">
      <c r="A72" s="78"/>
      <c r="B72" s="110" t="s">
        <v>43</v>
      </c>
      <c r="C72" s="101"/>
      <c r="D72" s="101"/>
      <c r="E72" s="102">
        <f>SUMIF(Table4491423420[Category],"Donations",Table4491423420[Amount])</f>
        <v>0</v>
      </c>
      <c r="F72" s="84"/>
      <c r="G72" s="78"/>
      <c r="H72" s="144"/>
      <c r="I72" s="149"/>
      <c r="J72" s="149"/>
      <c r="K72" s="150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</row>
    <row r="73" spans="1:26" x14ac:dyDescent="0.2">
      <c r="A73" s="78"/>
      <c r="B73" s="110" t="s">
        <v>90</v>
      </c>
      <c r="C73" s="101"/>
      <c r="D73" s="101"/>
      <c r="E73" s="102">
        <f>SUMIF(Table4491423420[Category],"Offering",Table4491423420[Amount])</f>
        <v>0</v>
      </c>
      <c r="F73" s="84"/>
      <c r="G73" s="78"/>
      <c r="H73" s="144"/>
      <c r="I73" s="149"/>
      <c r="J73" s="149"/>
      <c r="K73" s="150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</row>
    <row r="74" spans="1:26" x14ac:dyDescent="0.2">
      <c r="A74" s="78"/>
      <c r="B74" s="110"/>
      <c r="C74" s="101"/>
      <c r="D74" s="101"/>
      <c r="E74" s="102"/>
      <c r="F74" s="84"/>
      <c r="G74" s="78"/>
      <c r="H74" s="144"/>
      <c r="I74" s="149"/>
      <c r="J74" s="149"/>
      <c r="K74" s="150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</row>
    <row r="75" spans="1:26" x14ac:dyDescent="0.2">
      <c r="A75" s="78"/>
      <c r="B75" s="111" t="s">
        <v>89</v>
      </c>
      <c r="C75" s="104" t="e">
        <f>D76/(E81+E62)</f>
        <v>#DIV/0!</v>
      </c>
      <c r="D75" s="101"/>
      <c r="E75" s="102"/>
      <c r="F75" s="84"/>
      <c r="G75" s="78"/>
      <c r="H75" s="144"/>
      <c r="I75" s="149"/>
      <c r="J75" s="149"/>
      <c r="K75" s="150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</row>
    <row r="76" spans="1:26" x14ac:dyDescent="0.2">
      <c r="A76" s="78"/>
      <c r="B76" s="112" t="s">
        <v>104</v>
      </c>
      <c r="C76" s="101"/>
      <c r="D76" s="106">
        <f>SUM(E77:E79)</f>
        <v>0</v>
      </c>
      <c r="E76" s="102"/>
      <c r="F76" s="87">
        <f>SUM(F77:F79)</f>
        <v>0</v>
      </c>
      <c r="G76" s="78"/>
      <c r="H76" s="144"/>
      <c r="I76" s="149"/>
      <c r="J76" s="149"/>
      <c r="K76" s="150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</row>
    <row r="77" spans="1:26" x14ac:dyDescent="0.2">
      <c r="A77" s="78"/>
      <c r="B77" s="110" t="s">
        <v>92</v>
      </c>
      <c r="C77" s="101"/>
      <c r="D77" s="101"/>
      <c r="E77" s="102">
        <f>SUMIF(Table4491423420[Category],"Student Loan",Table4491423420[Amount])</f>
        <v>0</v>
      </c>
      <c r="F77" s="84"/>
      <c r="G77" s="78"/>
      <c r="H77" s="144"/>
      <c r="I77" s="149"/>
      <c r="J77" s="149"/>
      <c r="K77" s="150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</row>
    <row r="78" spans="1:26" x14ac:dyDescent="0.2">
      <c r="A78" s="78"/>
      <c r="B78" s="107" t="s">
        <v>91</v>
      </c>
      <c r="C78" s="101"/>
      <c r="D78" s="101"/>
      <c r="E78" s="102">
        <f>SUMIF(Table4491423420[Category],"Credit Card",Table4491423420[Amount])</f>
        <v>0</v>
      </c>
      <c r="F78" s="84"/>
      <c r="G78" s="78"/>
      <c r="H78" s="144"/>
      <c r="I78" s="149"/>
      <c r="J78" s="149"/>
      <c r="K78" s="150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</row>
    <row r="79" spans="1:26" x14ac:dyDescent="0.2">
      <c r="A79" s="78"/>
      <c r="B79" s="110" t="s">
        <v>93</v>
      </c>
      <c r="C79" s="101"/>
      <c r="D79" s="101"/>
      <c r="E79" s="102">
        <f>SUMIF(Table4491423420[Category],"Car",Table4491423420[Amount])</f>
        <v>0</v>
      </c>
      <c r="F79" s="84"/>
      <c r="G79" s="1"/>
      <c r="H79" s="144"/>
      <c r="I79" s="149"/>
      <c r="J79" s="149"/>
      <c r="K79" s="150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</row>
    <row r="80" spans="1:26" s="54" customFormat="1" x14ac:dyDescent="0.2">
      <c r="A80" s="78"/>
      <c r="B80" s="111"/>
      <c r="C80" s="101"/>
      <c r="D80" s="101"/>
      <c r="E80" s="102"/>
      <c r="F80" s="84"/>
      <c r="G80" s="53"/>
      <c r="H80" s="148"/>
      <c r="I80" s="151"/>
      <c r="J80" s="151"/>
      <c r="K80" s="1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spans="1:26" ht="16" thickBot="1" x14ac:dyDescent="0.25">
      <c r="A81" s="78"/>
      <c r="B81" s="113" t="s">
        <v>35</v>
      </c>
      <c r="C81" s="114"/>
      <c r="D81" s="114"/>
      <c r="E81" s="115">
        <f>SUM(D65,D76,D71)</f>
        <v>0</v>
      </c>
      <c r="F81" s="85">
        <f>SUM(F65,F71,F76)</f>
        <v>0</v>
      </c>
      <c r="G81" s="1"/>
      <c r="H81" s="153"/>
      <c r="I81" s="154"/>
      <c r="J81" s="154"/>
      <c r="K81" s="155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</row>
    <row r="82" spans="1:26" x14ac:dyDescent="0.2">
      <c r="A82" s="78"/>
      <c r="B82" s="78"/>
      <c r="C82" s="78"/>
      <c r="D82" s="78"/>
      <c r="E82" s="78"/>
      <c r="F82" s="78"/>
      <c r="G82" s="1"/>
      <c r="H82" s="1"/>
      <c r="I82" s="1"/>
      <c r="J82" s="1"/>
      <c r="K82" s="1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</row>
    <row r="83" spans="1:26" ht="16" thickBot="1" x14ac:dyDescent="0.25">
      <c r="A83" s="78"/>
      <c r="B83" s="78"/>
      <c r="C83" s="78"/>
      <c r="D83" s="78"/>
      <c r="E83" s="78"/>
      <c r="F83" s="78"/>
      <c r="G83" s="1"/>
      <c r="H83" s="1"/>
      <c r="I83" s="1"/>
      <c r="J83" s="1"/>
      <c r="K83" s="1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</row>
    <row r="84" spans="1:26" x14ac:dyDescent="0.2">
      <c r="A84" s="78"/>
      <c r="B84" s="195" t="str">
        <f>B30</f>
        <v>LIVING EXPENSES</v>
      </c>
      <c r="C84" s="196" t="e">
        <f>C30</f>
        <v>#DIV/0!</v>
      </c>
      <c r="D84" s="78"/>
      <c r="E84" s="78"/>
      <c r="F84" s="78"/>
      <c r="G84" s="78"/>
      <c r="H84" s="1"/>
      <c r="I84" s="1"/>
      <c r="J84" s="1"/>
      <c r="K84" s="1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</row>
    <row r="85" spans="1:26" x14ac:dyDescent="0.2">
      <c r="A85" s="78"/>
      <c r="B85" s="144" t="str">
        <f>B51</f>
        <v>INDULGENCE EXPENSES</v>
      </c>
      <c r="C85" s="197" t="e">
        <f>C51</f>
        <v>#DIV/0!</v>
      </c>
      <c r="D85" s="78"/>
      <c r="E85" s="78"/>
      <c r="F85" s="78"/>
      <c r="G85" s="78"/>
      <c r="H85" s="1"/>
      <c r="I85" s="1"/>
      <c r="J85" s="1"/>
      <c r="K85" s="1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</row>
    <row r="86" spans="1:26" x14ac:dyDescent="0.2">
      <c r="A86" s="78"/>
      <c r="B86" s="144" t="str">
        <f>B64</f>
        <v>SAVINGS</v>
      </c>
      <c r="C86" s="197" t="e">
        <f>C64</f>
        <v>#DIV/0!</v>
      </c>
      <c r="D86" s="78"/>
      <c r="E86" s="78"/>
      <c r="F86" s="78"/>
      <c r="G86" s="78"/>
      <c r="H86" s="1"/>
      <c r="I86" s="1"/>
      <c r="J86" s="1"/>
      <c r="K86" s="1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</row>
    <row r="87" spans="1:26" x14ac:dyDescent="0.2">
      <c r="A87" s="78"/>
      <c r="B87" s="144" t="str">
        <f>B70</f>
        <v>TITHINGS</v>
      </c>
      <c r="C87" s="197" t="e">
        <f>C70</f>
        <v>#DIV/0!</v>
      </c>
      <c r="D87" s="78"/>
      <c r="E87" s="78"/>
      <c r="F87" s="78"/>
      <c r="G87" s="78"/>
      <c r="H87" s="1"/>
      <c r="I87" s="1"/>
      <c r="J87" s="1"/>
      <c r="K87" s="1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</row>
    <row r="88" spans="1:26" ht="16" thickBot="1" x14ac:dyDescent="0.25">
      <c r="A88" s="78"/>
      <c r="B88" s="153" t="str">
        <f>B75</f>
        <v>DEBT REPAYMENT</v>
      </c>
      <c r="C88" s="198" t="e">
        <f>C75</f>
        <v>#DIV/0!</v>
      </c>
      <c r="D88" s="78"/>
      <c r="E88" s="78"/>
      <c r="F88" s="78"/>
      <c r="G88" s="78"/>
      <c r="H88" s="1"/>
      <c r="I88" s="1"/>
      <c r="J88" s="1"/>
      <c r="K88" s="1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</row>
    <row r="89" spans="1:26" x14ac:dyDescent="0.2">
      <c r="A89" s="78"/>
      <c r="B89" s="78"/>
      <c r="C89" s="78"/>
      <c r="D89" s="78"/>
      <c r="E89" s="78"/>
      <c r="F89" s="78"/>
      <c r="G89" s="78"/>
      <c r="H89" s="1"/>
      <c r="I89" s="1"/>
      <c r="J89" s="1"/>
      <c r="K89" s="1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</row>
    <row r="90" spans="1:26" x14ac:dyDescent="0.2">
      <c r="A90" s="78"/>
      <c r="B90" s="78"/>
      <c r="C90" s="78"/>
      <c r="D90" s="78"/>
      <c r="E90" s="78"/>
      <c r="F90" s="78"/>
      <c r="G90" s="78"/>
      <c r="H90" s="1"/>
      <c r="I90" s="1"/>
      <c r="J90" s="1"/>
      <c r="K90" s="1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</row>
    <row r="91" spans="1:26" x14ac:dyDescent="0.2">
      <c r="A91" s="78"/>
      <c r="B91" s="78"/>
      <c r="C91" s="78"/>
      <c r="D91" s="78"/>
      <c r="E91" s="78"/>
      <c r="F91" s="78"/>
      <c r="G91" s="78"/>
      <c r="H91" s="1"/>
      <c r="I91" s="1"/>
      <c r="J91" s="1"/>
      <c r="K91" s="1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</row>
    <row r="92" spans="1:26" x14ac:dyDescent="0.2">
      <c r="A92" s="78"/>
      <c r="B92" s="78"/>
      <c r="C92" s="78"/>
      <c r="D92" s="78"/>
      <c r="E92" s="78"/>
      <c r="F92" s="78"/>
      <c r="G92" s="78"/>
      <c r="H92" s="1"/>
      <c r="I92" s="1"/>
      <c r="J92" s="1"/>
      <c r="K92" s="1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</row>
    <row r="93" spans="1:26" x14ac:dyDescent="0.2">
      <c r="A93" s="78"/>
      <c r="B93" s="78"/>
      <c r="C93" s="78"/>
      <c r="D93" s="78"/>
      <c r="E93" s="78"/>
      <c r="F93" s="78"/>
      <c r="G93" s="78"/>
      <c r="H93" s="1"/>
      <c r="I93" s="1"/>
      <c r="J93" s="1"/>
      <c r="K93" s="1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</row>
    <row r="94" spans="1:26" x14ac:dyDescent="0.2">
      <c r="A94" s="78"/>
      <c r="B94" s="78"/>
      <c r="C94" s="78"/>
      <c r="D94" s="78"/>
      <c r="E94" s="78"/>
      <c r="F94" s="78"/>
      <c r="G94" s="78"/>
      <c r="H94" s="1"/>
      <c r="I94" s="1"/>
      <c r="J94" s="1"/>
      <c r="K94" s="1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</row>
    <row r="95" spans="1:26" x14ac:dyDescent="0.2">
      <c r="A95" s="78"/>
      <c r="B95" s="78"/>
      <c r="C95" s="78"/>
      <c r="D95" s="78"/>
      <c r="E95" s="78"/>
      <c r="F95" s="78"/>
      <c r="G95" s="78"/>
      <c r="H95" s="1"/>
      <c r="I95" s="1"/>
      <c r="J95" s="1"/>
      <c r="K95" s="1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</row>
    <row r="96" spans="1:26" x14ac:dyDescent="0.2">
      <c r="A96" s="78"/>
      <c r="B96" s="78"/>
      <c r="C96" s="78"/>
      <c r="D96" s="78"/>
      <c r="E96" s="78"/>
      <c r="F96" s="78"/>
      <c r="G96" s="1"/>
      <c r="H96" s="1"/>
      <c r="I96" s="1"/>
      <c r="J96" s="1"/>
      <c r="K96" s="1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</row>
    <row r="97" spans="1:26" x14ac:dyDescent="0.2">
      <c r="A97" s="78"/>
      <c r="B97" s="78"/>
      <c r="C97" s="78"/>
      <c r="D97" s="78"/>
      <c r="E97" s="78"/>
      <c r="F97" s="78"/>
      <c r="G97" s="1"/>
      <c r="H97" s="1"/>
      <c r="I97" s="1"/>
      <c r="J97" s="1"/>
      <c r="K97" s="1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</row>
    <row r="98" spans="1:26" x14ac:dyDescent="0.2">
      <c r="A98" s="78"/>
      <c r="B98" s="78"/>
      <c r="C98" s="78"/>
      <c r="D98" s="78"/>
      <c r="E98" s="78"/>
      <c r="F98" s="78"/>
      <c r="G98" s="1"/>
      <c r="H98" s="1"/>
      <c r="I98" s="1"/>
      <c r="J98" s="1"/>
      <c r="K98" s="1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</row>
    <row r="99" spans="1:26" x14ac:dyDescent="0.2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</row>
    <row r="100" spans="1:26" x14ac:dyDescent="0.2">
      <c r="A100" s="78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</row>
    <row r="101" spans="1:26" x14ac:dyDescent="0.2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</row>
    <row r="102" spans="1:26" x14ac:dyDescent="0.2">
      <c r="A102" s="78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</row>
    <row r="103" spans="1:26" x14ac:dyDescent="0.2">
      <c r="A103" s="78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</row>
    <row r="104" spans="1:26" x14ac:dyDescent="0.2">
      <c r="A104" s="78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</row>
    <row r="105" spans="1:26" x14ac:dyDescent="0.2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</row>
    <row r="106" spans="1:26" x14ac:dyDescent="0.2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</row>
    <row r="107" spans="1:26" x14ac:dyDescent="0.2">
      <c r="A107" s="78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</row>
    <row r="108" spans="1:26" x14ac:dyDescent="0.2">
      <c r="A108" s="78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</row>
  </sheetData>
  <mergeCells count="11">
    <mergeCell ref="D9:E9"/>
    <mergeCell ref="B2:I2"/>
    <mergeCell ref="B6:C6"/>
    <mergeCell ref="D6:F6"/>
    <mergeCell ref="D7:E7"/>
    <mergeCell ref="D8:E8"/>
    <mergeCell ref="D10:E10"/>
    <mergeCell ref="D12:E12"/>
    <mergeCell ref="D13:E13"/>
    <mergeCell ref="B15:F15"/>
    <mergeCell ref="H20:K20"/>
  </mergeCells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04942-BF81-4DBA-B35B-B969A8E6D85A}">
  <dimension ref="A1:Z108"/>
  <sheetViews>
    <sheetView workbookViewId="0"/>
  </sheetViews>
  <sheetFormatPr baseColWidth="10" defaultColWidth="9.1640625" defaultRowHeight="15" x14ac:dyDescent="0.2"/>
  <cols>
    <col min="1" max="1" width="10.6640625" style="75" customWidth="1"/>
    <col min="2" max="2" width="21.1640625" style="75" customWidth="1"/>
    <col min="3" max="6" width="10.6640625" style="75" customWidth="1"/>
    <col min="7" max="7" width="11" style="75" customWidth="1"/>
    <col min="8" max="8" width="12.6640625" style="75" customWidth="1"/>
    <col min="9" max="9" width="31.5" style="75" customWidth="1"/>
    <col min="10" max="10" width="15.6640625" style="75" customWidth="1"/>
    <col min="11" max="11" width="11.6640625" style="75" customWidth="1"/>
    <col min="12" max="13" width="9.1640625" style="75"/>
    <col min="14" max="19" width="10.6640625" style="75" customWidth="1"/>
    <col min="20" max="16384" width="9.1640625" style="75"/>
  </cols>
  <sheetData>
    <row r="1" spans="1:26" ht="16" thickBo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ht="20" thickBot="1" x14ac:dyDescent="0.3">
      <c r="A2" s="78"/>
      <c r="B2" s="214" t="s">
        <v>173</v>
      </c>
      <c r="C2" s="215"/>
      <c r="D2" s="215"/>
      <c r="E2" s="215"/>
      <c r="F2" s="215"/>
      <c r="G2" s="215"/>
      <c r="H2" s="215"/>
      <c r="I2" s="216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26" x14ac:dyDescent="0.2">
      <c r="A3" s="78"/>
      <c r="B3" s="140" t="s">
        <v>59</v>
      </c>
      <c r="C3" s="141" t="s">
        <v>20</v>
      </c>
      <c r="D3" s="141" t="s">
        <v>52</v>
      </c>
      <c r="E3" s="141" t="s">
        <v>12</v>
      </c>
      <c r="F3" s="142" t="s">
        <v>54</v>
      </c>
      <c r="G3" s="142" t="s">
        <v>14</v>
      </c>
      <c r="H3" s="142" t="s">
        <v>60</v>
      </c>
      <c r="I3" s="143" t="s">
        <v>55</v>
      </c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26" ht="16" thickBot="1" x14ac:dyDescent="0.25">
      <c r="A4" s="78"/>
      <c r="B4" s="95">
        <v>0</v>
      </c>
      <c r="C4" s="96">
        <v>0</v>
      </c>
      <c r="D4" s="96">
        <v>0</v>
      </c>
      <c r="E4" s="96">
        <v>0</v>
      </c>
      <c r="F4" s="97">
        <v>0</v>
      </c>
      <c r="G4" s="98">
        <v>0</v>
      </c>
      <c r="H4" s="98">
        <v>0</v>
      </c>
      <c r="I4" s="99">
        <v>0</v>
      </c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26" ht="16" thickBot="1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spans="1:26" ht="19" x14ac:dyDescent="0.25">
      <c r="A6" s="78"/>
      <c r="B6" s="217" t="s">
        <v>174</v>
      </c>
      <c r="C6" s="218"/>
      <c r="D6" s="219" t="s">
        <v>175</v>
      </c>
      <c r="E6" s="220"/>
      <c r="F6" s="221"/>
      <c r="G6" s="78"/>
      <c r="H6" s="1"/>
      <c r="I6" s="1"/>
      <c r="J6" s="1"/>
      <c r="K6" s="1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pans="1:26" x14ac:dyDescent="0.2">
      <c r="A7" s="78"/>
      <c r="B7" s="117" t="s">
        <v>2</v>
      </c>
      <c r="C7" s="118">
        <v>0</v>
      </c>
      <c r="D7" s="222" t="str">
        <f t="shared" ref="D7:D13" si="0">B7</f>
        <v>Income</v>
      </c>
      <c r="E7" s="223"/>
      <c r="F7" s="119">
        <f>F27</f>
        <v>0</v>
      </c>
      <c r="G7" s="78"/>
      <c r="H7" s="1"/>
      <c r="I7" s="1"/>
      <c r="J7" s="1"/>
      <c r="K7" s="1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</row>
    <row r="8" spans="1:26" x14ac:dyDescent="0.2">
      <c r="A8" s="78"/>
      <c r="B8" s="120" t="s">
        <v>12</v>
      </c>
      <c r="C8" s="121">
        <f>SUM(F66:F68)</f>
        <v>0</v>
      </c>
      <c r="D8" s="228" t="str">
        <f t="shared" si="0"/>
        <v>Savings</v>
      </c>
      <c r="E8" s="229"/>
      <c r="F8" s="122">
        <f>D65</f>
        <v>0</v>
      </c>
      <c r="G8" s="78"/>
      <c r="H8" s="1"/>
      <c r="I8" s="1"/>
      <c r="J8" s="1"/>
      <c r="K8" s="1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</row>
    <row r="9" spans="1:26" x14ac:dyDescent="0.2">
      <c r="A9" s="78"/>
      <c r="B9" s="123" t="s">
        <v>120</v>
      </c>
      <c r="C9" s="124">
        <f>SUM(F72:F73)</f>
        <v>0</v>
      </c>
      <c r="D9" s="232" t="str">
        <f t="shared" si="0"/>
        <v>Tithing</v>
      </c>
      <c r="E9" s="232"/>
      <c r="F9" s="125">
        <f>D71</f>
        <v>0</v>
      </c>
      <c r="G9" s="78"/>
      <c r="H9" s="1"/>
      <c r="I9" s="1"/>
      <c r="J9" s="1"/>
      <c r="K9" s="1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</row>
    <row r="10" spans="1:26" x14ac:dyDescent="0.2">
      <c r="A10" s="78"/>
      <c r="B10" s="126" t="s">
        <v>14</v>
      </c>
      <c r="C10" s="127">
        <f>SUM(F77:F79)</f>
        <v>0</v>
      </c>
      <c r="D10" s="230" t="str">
        <f t="shared" si="0"/>
        <v>Debt</v>
      </c>
      <c r="E10" s="231"/>
      <c r="F10" s="128">
        <f>D76</f>
        <v>0</v>
      </c>
      <c r="G10" s="78"/>
      <c r="H10" s="1"/>
      <c r="I10" s="1"/>
      <c r="J10" s="1"/>
      <c r="K10" s="1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</row>
    <row r="11" spans="1:26" x14ac:dyDescent="0.2">
      <c r="A11" s="78"/>
      <c r="B11" s="129" t="s">
        <v>124</v>
      </c>
      <c r="C11" s="130">
        <f>C7-C8-C9-C10</f>
        <v>0</v>
      </c>
      <c r="D11" s="131" t="str">
        <f t="shared" si="0"/>
        <v>Budgeted</v>
      </c>
      <c r="E11" s="132"/>
      <c r="F11" s="133">
        <f>F7-F8-F9-F10</f>
        <v>0</v>
      </c>
      <c r="G11" s="78"/>
      <c r="H11" s="1"/>
      <c r="I11" s="1"/>
      <c r="J11" s="1"/>
      <c r="K11" s="1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</row>
    <row r="12" spans="1:26" x14ac:dyDescent="0.2">
      <c r="A12" s="78"/>
      <c r="B12" s="134" t="s">
        <v>0</v>
      </c>
      <c r="C12" s="135">
        <f>F62</f>
        <v>0</v>
      </c>
      <c r="D12" s="224" t="str">
        <f t="shared" si="0"/>
        <v>Expenses</v>
      </c>
      <c r="E12" s="225"/>
      <c r="F12" s="136">
        <f>E62</f>
        <v>0</v>
      </c>
      <c r="G12" s="78"/>
      <c r="H12" s="1"/>
      <c r="I12" s="1"/>
      <c r="J12" s="1"/>
      <c r="K12" s="1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</row>
    <row r="13" spans="1:26" ht="16" thickBot="1" x14ac:dyDescent="0.25">
      <c r="A13" s="78"/>
      <c r="B13" s="137" t="s">
        <v>123</v>
      </c>
      <c r="C13" s="138">
        <f>C11-C12</f>
        <v>0</v>
      </c>
      <c r="D13" s="226" t="str">
        <f t="shared" si="0"/>
        <v>Remaining</v>
      </c>
      <c r="E13" s="227"/>
      <c r="F13" s="139">
        <f>F11-F12</f>
        <v>0</v>
      </c>
      <c r="G13" s="78"/>
      <c r="H13" s="1"/>
      <c r="I13" s="1"/>
      <c r="J13" s="1"/>
      <c r="K13" s="1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</row>
    <row r="14" spans="1:26" ht="16" thickBot="1" x14ac:dyDescent="0.25">
      <c r="A14" s="78"/>
      <c r="B14" s="78"/>
      <c r="C14" s="78"/>
      <c r="D14" s="78"/>
      <c r="E14" s="78"/>
      <c r="F14" s="78"/>
      <c r="G14" s="78"/>
      <c r="H14" s="1"/>
      <c r="I14" s="1"/>
      <c r="J14" s="1"/>
      <c r="K14" s="1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</row>
    <row r="15" spans="1:26" ht="20" thickBot="1" x14ac:dyDescent="0.3">
      <c r="A15" s="78"/>
      <c r="B15" s="214" t="s">
        <v>176</v>
      </c>
      <c r="C15" s="215"/>
      <c r="D15" s="215"/>
      <c r="E15" s="215"/>
      <c r="F15" s="216"/>
      <c r="G15" s="78"/>
      <c r="H15" s="1"/>
      <c r="I15" s="1"/>
      <c r="J15" s="1"/>
      <c r="K15" s="1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</row>
    <row r="16" spans="1:26" ht="17" thickBot="1" x14ac:dyDescent="0.25">
      <c r="A16" s="78"/>
      <c r="B16" s="63" t="s">
        <v>2</v>
      </c>
      <c r="C16" s="64"/>
      <c r="D16" s="65"/>
      <c r="E16" s="65"/>
      <c r="F16" s="66"/>
      <c r="G16" s="78"/>
      <c r="H16" s="1"/>
      <c r="I16" s="1"/>
      <c r="J16" s="1"/>
      <c r="K16" s="1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</row>
    <row r="17" spans="1:26" x14ac:dyDescent="0.2">
      <c r="A17" s="78"/>
      <c r="B17" s="4"/>
      <c r="C17" s="2"/>
      <c r="D17" s="2"/>
      <c r="E17" s="2"/>
      <c r="F17" s="62"/>
      <c r="G17" s="78"/>
      <c r="H17" s="1"/>
      <c r="I17" s="1"/>
      <c r="J17" s="1"/>
      <c r="K17" s="1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</row>
    <row r="18" spans="1:26" x14ac:dyDescent="0.2">
      <c r="A18" s="78"/>
      <c r="B18" s="4"/>
      <c r="C18" s="2"/>
      <c r="D18" s="2"/>
      <c r="E18" s="2"/>
      <c r="F18" s="55"/>
      <c r="G18" s="78"/>
      <c r="H18" s="1"/>
      <c r="I18" s="1"/>
      <c r="J18" s="1"/>
      <c r="K18" s="1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</row>
    <row r="19" spans="1:26" ht="16" thickBot="1" x14ac:dyDescent="0.25">
      <c r="A19" s="78"/>
      <c r="B19" s="4"/>
      <c r="C19" s="2"/>
      <c r="D19" s="2"/>
      <c r="E19" s="2"/>
      <c r="F19" s="55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</row>
    <row r="20" spans="1:26" ht="20" thickBot="1" x14ac:dyDescent="0.3">
      <c r="A20" s="78"/>
      <c r="B20" s="4"/>
      <c r="C20" s="2"/>
      <c r="D20" s="2"/>
      <c r="E20" s="2"/>
      <c r="F20" s="55"/>
      <c r="G20" s="78"/>
      <c r="H20" s="214" t="s">
        <v>177</v>
      </c>
      <c r="I20" s="215"/>
      <c r="J20" s="215"/>
      <c r="K20" s="216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</row>
    <row r="21" spans="1:26" x14ac:dyDescent="0.2">
      <c r="A21" s="78"/>
      <c r="B21" s="4"/>
      <c r="C21" s="2"/>
      <c r="D21" s="2"/>
      <c r="E21" s="2"/>
      <c r="F21" s="55"/>
      <c r="G21" s="78"/>
      <c r="H21" s="76" t="s">
        <v>5</v>
      </c>
      <c r="I21" s="76" t="s">
        <v>7</v>
      </c>
      <c r="J21" s="76" t="s">
        <v>8</v>
      </c>
      <c r="K21" s="77" t="s">
        <v>6</v>
      </c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</row>
    <row r="22" spans="1:26" x14ac:dyDescent="0.2">
      <c r="A22" s="78"/>
      <c r="B22" s="4"/>
      <c r="C22" s="2"/>
      <c r="D22" s="2"/>
      <c r="E22" s="2"/>
      <c r="F22" s="55"/>
      <c r="G22" s="78"/>
      <c r="H22" s="79"/>
      <c r="I22" s="76"/>
      <c r="J22" s="76"/>
      <c r="K22" s="77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</row>
    <row r="23" spans="1:26" x14ac:dyDescent="0.2">
      <c r="A23" s="78"/>
      <c r="B23" s="4"/>
      <c r="C23" s="2"/>
      <c r="D23" s="2"/>
      <c r="E23" s="2"/>
      <c r="F23" s="55"/>
      <c r="G23" s="78"/>
      <c r="H23" s="79"/>
      <c r="I23" s="76"/>
      <c r="J23" s="76"/>
      <c r="K23" s="77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</row>
    <row r="24" spans="1:26" x14ac:dyDescent="0.2">
      <c r="A24" s="78"/>
      <c r="B24" s="4"/>
      <c r="C24" s="2"/>
      <c r="D24" s="2"/>
      <c r="E24" s="2"/>
      <c r="F24" s="55"/>
      <c r="G24" s="78"/>
      <c r="H24" s="79"/>
      <c r="I24" s="76"/>
      <c r="J24" s="76"/>
      <c r="K24" s="77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</row>
    <row r="25" spans="1:26" x14ac:dyDescent="0.2">
      <c r="A25" s="78"/>
      <c r="B25" s="4"/>
      <c r="C25" s="2"/>
      <c r="D25" s="2"/>
      <c r="E25" s="2"/>
      <c r="F25" s="55"/>
      <c r="G25" s="78"/>
      <c r="H25" s="79"/>
      <c r="I25" s="76"/>
      <c r="J25" s="76"/>
      <c r="K25" s="77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</row>
    <row r="26" spans="1:26" x14ac:dyDescent="0.2">
      <c r="A26" s="78"/>
      <c r="B26" s="5"/>
      <c r="C26" s="2"/>
      <c r="D26" s="2"/>
      <c r="E26" s="2"/>
      <c r="F26" s="56"/>
      <c r="G26" s="78"/>
      <c r="H26" s="79"/>
      <c r="I26" s="76"/>
      <c r="J26" s="76"/>
      <c r="K26" s="77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</row>
    <row r="27" spans="1:26" s="41" customFormat="1" ht="16" thickBot="1" x14ac:dyDescent="0.25">
      <c r="A27" s="78"/>
      <c r="B27" s="6" t="s">
        <v>3</v>
      </c>
      <c r="C27" s="7"/>
      <c r="D27" s="58"/>
      <c r="E27" s="58"/>
      <c r="F27" s="57">
        <f>SUM(F17:F26)</f>
        <v>0</v>
      </c>
      <c r="G27" s="78"/>
      <c r="H27" s="79"/>
      <c r="I27" s="76"/>
      <c r="J27" s="76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</row>
    <row r="28" spans="1:26" ht="16" thickBot="1" x14ac:dyDescent="0.25">
      <c r="A28" s="78"/>
      <c r="B28" s="59"/>
      <c r="C28" s="60"/>
      <c r="D28" s="60"/>
      <c r="E28" s="60"/>
      <c r="F28" s="61"/>
      <c r="G28" s="78"/>
      <c r="H28" s="79"/>
      <c r="I28" s="76"/>
      <c r="J28" s="76"/>
      <c r="K28" s="77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</row>
    <row r="29" spans="1:26" ht="17" thickBot="1" x14ac:dyDescent="0.25">
      <c r="A29" s="78"/>
      <c r="B29" s="51" t="s">
        <v>0</v>
      </c>
      <c r="C29" s="49"/>
      <c r="D29" s="49"/>
      <c r="E29" s="49"/>
      <c r="F29" s="68" t="s">
        <v>1</v>
      </c>
      <c r="G29" s="78"/>
      <c r="H29" s="79"/>
      <c r="I29" s="76"/>
      <c r="J29" s="76"/>
      <c r="K29" s="77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</row>
    <row r="30" spans="1:26" x14ac:dyDescent="0.2">
      <c r="A30" s="78"/>
      <c r="B30" s="67" t="s">
        <v>87</v>
      </c>
      <c r="C30" s="72" t="e">
        <f>(D31+D34+D40+D46)/(E81+E62)</f>
        <v>#DIV/0!</v>
      </c>
      <c r="D30" s="71"/>
      <c r="E30" s="89"/>
      <c r="F30" s="91"/>
      <c r="G30" s="78"/>
      <c r="H30" s="79"/>
      <c r="I30" s="76"/>
      <c r="J30" s="76"/>
      <c r="K30" s="77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</row>
    <row r="31" spans="1:26" x14ac:dyDescent="0.2">
      <c r="A31" s="78"/>
      <c r="B31" s="81" t="s">
        <v>37</v>
      </c>
      <c r="C31" s="3"/>
      <c r="D31" s="92">
        <f>SUM(E32:E33)</f>
        <v>0</v>
      </c>
      <c r="E31" s="3"/>
      <c r="F31" s="87">
        <f>SUM(F32:F33)</f>
        <v>0</v>
      </c>
      <c r="G31" s="78"/>
      <c r="H31" s="79"/>
      <c r="I31" s="76"/>
      <c r="J31" s="76"/>
      <c r="K31" s="77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</row>
    <row r="32" spans="1:26" x14ac:dyDescent="0.2">
      <c r="A32" s="78"/>
      <c r="B32" s="46" t="s">
        <v>62</v>
      </c>
      <c r="C32" s="3"/>
      <c r="D32" s="3"/>
      <c r="E32" s="3">
        <f>SUMIF(Table4491423421[Category],"Rent",Table4491423421[Amount])</f>
        <v>0</v>
      </c>
      <c r="F32" s="84"/>
      <c r="G32" s="78"/>
      <c r="H32" s="79"/>
      <c r="I32" s="76"/>
      <c r="J32" s="76"/>
      <c r="K32" s="77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</row>
    <row r="33" spans="1:26" x14ac:dyDescent="0.2">
      <c r="A33" s="78"/>
      <c r="B33" s="46" t="s">
        <v>38</v>
      </c>
      <c r="C33" s="3"/>
      <c r="D33" s="3"/>
      <c r="E33" s="3">
        <f>SUMIF(Table4491423421[Category],"Utilities",Table4491423421[Amount])</f>
        <v>0</v>
      </c>
      <c r="F33" s="84"/>
      <c r="G33" s="78"/>
      <c r="H33" s="79"/>
      <c r="I33" s="76"/>
      <c r="J33" s="76"/>
      <c r="K33" s="77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</row>
    <row r="34" spans="1:26" x14ac:dyDescent="0.2">
      <c r="A34" s="78"/>
      <c r="B34" s="47" t="s">
        <v>39</v>
      </c>
      <c r="C34" s="3"/>
      <c r="D34" s="92">
        <f>SUM(E35:E39)</f>
        <v>0</v>
      </c>
      <c r="E34" s="3"/>
      <c r="F34" s="87">
        <f>SUM(F35:F39)</f>
        <v>0</v>
      </c>
      <c r="G34" s="78"/>
      <c r="H34" s="79"/>
      <c r="I34" s="76"/>
      <c r="J34" s="76"/>
      <c r="K34" s="77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</row>
    <row r="35" spans="1:26" ht="15.75" customHeight="1" x14ac:dyDescent="0.2">
      <c r="A35" s="78"/>
      <c r="B35" s="46" t="s">
        <v>82</v>
      </c>
      <c r="C35" s="3"/>
      <c r="D35" s="3"/>
      <c r="E35" s="3">
        <f>SUMIF(Table4491423421[Category],"Restaurants",Table4491423421[Amount])</f>
        <v>0</v>
      </c>
      <c r="F35" s="84"/>
      <c r="G35" s="78"/>
      <c r="H35" s="79"/>
      <c r="I35" s="76"/>
      <c r="J35" s="76"/>
      <c r="K35" s="77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</row>
    <row r="36" spans="1:26" ht="14.25" customHeight="1" x14ac:dyDescent="0.2">
      <c r="A36" s="78"/>
      <c r="B36" s="46" t="s">
        <v>63</v>
      </c>
      <c r="C36" s="3"/>
      <c r="D36" s="3"/>
      <c r="E36" s="3">
        <f>SUMIF(Table4491423421[Category],"Fast Food",Table4491423421[Amount])</f>
        <v>0</v>
      </c>
      <c r="F36" s="84"/>
      <c r="G36" s="78"/>
      <c r="H36" s="79"/>
      <c r="I36" s="76"/>
      <c r="J36" s="76"/>
      <c r="K36" s="77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</row>
    <row r="37" spans="1:26" x14ac:dyDescent="0.2">
      <c r="A37" s="78"/>
      <c r="B37" s="46" t="s">
        <v>64</v>
      </c>
      <c r="C37" s="3"/>
      <c r="D37" s="3"/>
      <c r="E37" s="3">
        <f>SUMIF(Table4491423421[Category],"Groceries",Table4491423421[Amount])</f>
        <v>0</v>
      </c>
      <c r="F37" s="84"/>
      <c r="G37" s="78"/>
      <c r="H37" s="79"/>
      <c r="I37" s="76"/>
      <c r="J37" s="76"/>
      <c r="K37" s="77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</row>
    <row r="38" spans="1:26" x14ac:dyDescent="0.2">
      <c r="A38" s="78"/>
      <c r="B38" s="46" t="s">
        <v>65</v>
      </c>
      <c r="C38" s="3"/>
      <c r="D38" s="3"/>
      <c r="E38" s="3">
        <f>SUMIF(Table4491423421[Category],"Coffee",Table4491423421[Amount])</f>
        <v>0</v>
      </c>
      <c r="F38" s="84"/>
      <c r="G38" s="78"/>
      <c r="H38" s="79"/>
      <c r="I38" s="76"/>
      <c r="J38" s="76"/>
      <c r="K38" s="77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</row>
    <row r="39" spans="1:26" x14ac:dyDescent="0.2">
      <c r="A39" s="78"/>
      <c r="B39" s="46" t="s">
        <v>66</v>
      </c>
      <c r="C39" s="3"/>
      <c r="D39" s="3"/>
      <c r="E39" s="3">
        <f>SUMIF(Table4491423421[Category],"Bars",Table4491423421[Amount])</f>
        <v>0</v>
      </c>
      <c r="F39" s="84"/>
      <c r="G39" s="78"/>
      <c r="H39" s="79"/>
      <c r="I39" s="76"/>
      <c r="J39" s="76"/>
      <c r="K39" s="77"/>
      <c r="L39" s="78"/>
      <c r="M39" s="78"/>
      <c r="N39" s="37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spans="1:26" x14ac:dyDescent="0.2">
      <c r="A40" s="78"/>
      <c r="B40" s="48" t="s">
        <v>67</v>
      </c>
      <c r="C40" s="44"/>
      <c r="D40" s="93">
        <f>SUM(E41:E45)</f>
        <v>0</v>
      </c>
      <c r="E40" s="3"/>
      <c r="F40" s="88">
        <f>SUM(F41:F45)</f>
        <v>0</v>
      </c>
      <c r="G40" s="78"/>
      <c r="H40" s="79"/>
      <c r="I40" s="76"/>
      <c r="J40" s="76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spans="1:26" x14ac:dyDescent="0.2">
      <c r="A41" s="1"/>
      <c r="B41" s="46" t="s">
        <v>42</v>
      </c>
      <c r="C41" s="3"/>
      <c r="D41" s="3"/>
      <c r="E41" s="3">
        <f>SUMIF(Table4491423421[Category],"Gas",Table4491423421[Amount])</f>
        <v>0</v>
      </c>
      <c r="F41" s="84"/>
      <c r="G41" s="78"/>
      <c r="H41" s="79"/>
      <c r="I41" s="76"/>
      <c r="K41" s="77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</row>
    <row r="42" spans="1:26" x14ac:dyDescent="0.2">
      <c r="A42" s="1"/>
      <c r="B42" s="46" t="s">
        <v>68</v>
      </c>
      <c r="C42" s="116"/>
      <c r="D42" s="116"/>
      <c r="E42" s="3">
        <f>SUMIF(Table4491423421[Category],"Insurance",Table4491423421[Amount])</f>
        <v>0</v>
      </c>
      <c r="F42" s="84"/>
      <c r="G42" s="78"/>
      <c r="H42" s="79"/>
      <c r="J42" s="76"/>
      <c r="K42" s="77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</row>
    <row r="43" spans="1:26" x14ac:dyDescent="0.2">
      <c r="A43" s="18"/>
      <c r="B43" s="46" t="s">
        <v>83</v>
      </c>
      <c r="C43" s="116"/>
      <c r="D43" s="116"/>
      <c r="E43" s="3">
        <f>SUMIF(Table4491423421[Category],"Maintenance",Table4491423421[Amount])</f>
        <v>0</v>
      </c>
      <c r="F43" s="84"/>
      <c r="G43" s="78"/>
      <c r="H43" s="79"/>
      <c r="I43" s="76"/>
      <c r="J43" s="76"/>
      <c r="K43" s="77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</row>
    <row r="44" spans="1:26" x14ac:dyDescent="0.2">
      <c r="A44" s="43"/>
      <c r="B44" s="46" t="s">
        <v>69</v>
      </c>
      <c r="C44" s="116"/>
      <c r="D44" s="116"/>
      <c r="E44" s="3">
        <f>SUMIF(Table4491423421[Category],"Parking",Table4491423421[Amount])</f>
        <v>0</v>
      </c>
      <c r="F44" s="84"/>
      <c r="G44" s="78"/>
      <c r="H44" s="79"/>
      <c r="I44" s="76"/>
      <c r="J44" s="76"/>
      <c r="K44" s="77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</row>
    <row r="45" spans="1:26" x14ac:dyDescent="0.2">
      <c r="A45" s="78"/>
      <c r="B45" s="46" t="s">
        <v>40</v>
      </c>
      <c r="C45" s="116"/>
      <c r="D45" s="116"/>
      <c r="E45" s="3">
        <f>SUMIF(Table4491423421[Category],"Uber",Table4491423421[Amount])</f>
        <v>0</v>
      </c>
      <c r="F45" s="84"/>
      <c r="G45" s="78"/>
      <c r="H45" s="79"/>
      <c r="I45" s="76"/>
      <c r="J45" s="76"/>
      <c r="K45" s="77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</row>
    <row r="46" spans="1:26" x14ac:dyDescent="0.2">
      <c r="A46" s="1"/>
      <c r="B46" s="81" t="s">
        <v>70</v>
      </c>
      <c r="C46" s="116"/>
      <c r="D46" s="94">
        <f>SUM(E47:E48)</f>
        <v>0</v>
      </c>
      <c r="E46" s="3"/>
      <c r="F46" s="87">
        <f>SUM(F47:F48)</f>
        <v>0</v>
      </c>
      <c r="G46" s="78"/>
      <c r="H46" s="79"/>
      <c r="I46" s="76"/>
      <c r="J46" s="76"/>
      <c r="K46" s="77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</row>
    <row r="47" spans="1:26" x14ac:dyDescent="0.2">
      <c r="A47" s="1"/>
      <c r="B47" s="46" t="s">
        <v>44</v>
      </c>
      <c r="C47" s="116"/>
      <c r="D47" s="116"/>
      <c r="E47" s="3">
        <f>SUMIF(Table4491423421[Category],"Tuition",Table4491423421[Amount])</f>
        <v>0</v>
      </c>
      <c r="F47" s="84"/>
      <c r="G47" s="78"/>
      <c r="H47" s="79"/>
      <c r="I47" s="76"/>
      <c r="J47" s="76"/>
      <c r="K47" s="77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</row>
    <row r="48" spans="1:26" x14ac:dyDescent="0.2">
      <c r="A48" s="1"/>
      <c r="B48" s="46" t="s">
        <v>71</v>
      </c>
      <c r="C48" s="116"/>
      <c r="D48" s="116"/>
      <c r="E48" s="3">
        <f>SUMIF(Table4491423421[Category],"Books",Table4491423421[Amount])</f>
        <v>0</v>
      </c>
      <c r="F48" s="84"/>
      <c r="G48" s="78"/>
      <c r="H48" s="79"/>
      <c r="I48" s="76"/>
      <c r="J48" s="76"/>
      <c r="K48" s="77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</row>
    <row r="49" spans="1:26" x14ac:dyDescent="0.2">
      <c r="A49" s="1"/>
      <c r="B49" s="46"/>
      <c r="C49" s="116"/>
      <c r="D49" s="116"/>
      <c r="E49" s="3"/>
      <c r="F49" s="84"/>
      <c r="G49" s="78"/>
      <c r="H49" s="79"/>
      <c r="I49" s="76"/>
      <c r="J49" s="76"/>
      <c r="K49" s="77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</row>
    <row r="50" spans="1:26" x14ac:dyDescent="0.2">
      <c r="A50" s="1"/>
      <c r="B50" s="46"/>
      <c r="C50" s="116"/>
      <c r="D50" s="116"/>
      <c r="E50" s="3"/>
      <c r="F50" s="84"/>
      <c r="G50" s="78"/>
      <c r="H50" s="79"/>
      <c r="I50" s="76"/>
      <c r="J50" s="76"/>
      <c r="K50" s="77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</row>
    <row r="51" spans="1:26" x14ac:dyDescent="0.2">
      <c r="A51" s="1"/>
      <c r="B51" s="50" t="s">
        <v>121</v>
      </c>
      <c r="C51" s="73" t="e">
        <f>(D52+D55+D60)/(E81+E62)</f>
        <v>#DIV/0!</v>
      </c>
      <c r="D51" s="116"/>
      <c r="E51" s="3"/>
      <c r="F51" s="84"/>
      <c r="G51" s="78"/>
      <c r="H51" s="79"/>
      <c r="I51" s="76"/>
      <c r="J51" s="76"/>
      <c r="K51" s="77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</row>
    <row r="52" spans="1:26" x14ac:dyDescent="0.2">
      <c r="A52" s="1"/>
      <c r="B52" s="81" t="s">
        <v>41</v>
      </c>
      <c r="C52" s="116"/>
      <c r="D52" s="94">
        <f>SUM(E53:E54)</f>
        <v>0</v>
      </c>
      <c r="E52" s="3"/>
      <c r="F52" s="87">
        <f>SUM(F53:F54)</f>
        <v>0</v>
      </c>
      <c r="G52" s="78"/>
      <c r="H52" s="79"/>
      <c r="I52" s="76"/>
      <c r="J52" s="76"/>
      <c r="K52" s="77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</row>
    <row r="53" spans="1:26" x14ac:dyDescent="0.2">
      <c r="A53" s="1"/>
      <c r="B53" s="46" t="s">
        <v>72</v>
      </c>
      <c r="C53" s="116"/>
      <c r="D53" s="116"/>
      <c r="E53" s="3">
        <f>SUMIF(Table4491423421[Category],"Subscription",Table4491423421[Amount])</f>
        <v>0</v>
      </c>
      <c r="F53" s="84"/>
      <c r="G53" s="78"/>
      <c r="H53" s="79"/>
      <c r="I53" s="76"/>
      <c r="J53" s="76"/>
      <c r="K53" s="77"/>
      <c r="L53" s="78"/>
      <c r="M53" s="86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</row>
    <row r="54" spans="1:26" x14ac:dyDescent="0.2">
      <c r="A54" s="1"/>
      <c r="B54" s="46" t="s">
        <v>84</v>
      </c>
      <c r="C54" s="116"/>
      <c r="D54" s="116"/>
      <c r="E54" s="3">
        <f>SUMIF(Table4491423421[Category],"Events",Table4491423421[Amount])</f>
        <v>0</v>
      </c>
      <c r="F54" s="84"/>
      <c r="G54" s="78"/>
      <c r="H54" s="79"/>
      <c r="I54" s="76"/>
      <c r="J54" s="76"/>
      <c r="K54" s="77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</row>
    <row r="55" spans="1:26" x14ac:dyDescent="0.2">
      <c r="A55" s="1"/>
      <c r="B55" s="81" t="s">
        <v>73</v>
      </c>
      <c r="C55" s="116"/>
      <c r="D55" s="94">
        <f>SUM(E56:E59)</f>
        <v>0</v>
      </c>
      <c r="E55" s="3"/>
      <c r="F55" s="87">
        <f>SUM(F56:F59)</f>
        <v>0</v>
      </c>
      <c r="G55" s="78"/>
      <c r="H55" s="79"/>
      <c r="I55" s="76"/>
      <c r="J55" s="76"/>
      <c r="K55" s="77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</row>
    <row r="56" spans="1:26" x14ac:dyDescent="0.2">
      <c r="A56" s="1"/>
      <c r="B56" s="46" t="s">
        <v>74</v>
      </c>
      <c r="C56" s="116"/>
      <c r="D56" s="116"/>
      <c r="E56" s="3">
        <f>SUMIF(Table4491423421[Category],"Clothes",Table4491423421[Amount])</f>
        <v>0</v>
      </c>
      <c r="F56" s="84"/>
      <c r="G56" s="78"/>
      <c r="H56" s="79"/>
      <c r="I56" s="76"/>
      <c r="J56" s="76"/>
      <c r="K56" s="77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</row>
    <row r="57" spans="1:26" ht="17" thickBot="1" x14ac:dyDescent="0.25">
      <c r="A57" s="1"/>
      <c r="B57" s="46" t="s">
        <v>75</v>
      </c>
      <c r="C57" s="116"/>
      <c r="D57" s="116"/>
      <c r="E57" s="3">
        <f>SUMIF(Table4491423421[Category],"Accessories",Table4491423421[Amount])</f>
        <v>0</v>
      </c>
      <c r="F57" s="84"/>
      <c r="G57" s="78"/>
      <c r="H57" s="12" t="s">
        <v>178</v>
      </c>
      <c r="I57" s="9"/>
      <c r="J57" s="9"/>
      <c r="K57" s="10">
        <f>SUM(K22:K56)</f>
        <v>0</v>
      </c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</row>
    <row r="58" spans="1:26" x14ac:dyDescent="0.2">
      <c r="A58" s="1"/>
      <c r="B58" s="46" t="s">
        <v>76</v>
      </c>
      <c r="C58" s="116"/>
      <c r="D58" s="116"/>
      <c r="E58" s="3">
        <f>SUMIF(Table4491423421[Category],"Gifts",Table4491423421[Amount])</f>
        <v>0</v>
      </c>
      <c r="F58" s="84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</row>
    <row r="59" spans="1:26" ht="16" thickBot="1" x14ac:dyDescent="0.25">
      <c r="A59" s="78"/>
      <c r="B59" s="46" t="s">
        <v>81</v>
      </c>
      <c r="C59" s="116"/>
      <c r="D59" s="116"/>
      <c r="E59" s="3">
        <f>SUMIF(Table4491423421[Category],"Cosmetics",Table4491423421[Amount])</f>
        <v>0</v>
      </c>
      <c r="F59" s="84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</row>
    <row r="60" spans="1:26" x14ac:dyDescent="0.2">
      <c r="A60" s="78"/>
      <c r="B60" s="81" t="s">
        <v>77</v>
      </c>
      <c r="C60" s="116"/>
      <c r="D60" s="94">
        <f>SUMIF(Table4491423421[Category],"Hobbies",Table4491423421[Amount])</f>
        <v>0</v>
      </c>
      <c r="E60" s="3"/>
      <c r="F60" s="87">
        <v>0</v>
      </c>
      <c r="G60" s="78"/>
      <c r="H60" s="145" t="s">
        <v>103</v>
      </c>
      <c r="I60" s="146"/>
      <c r="J60" s="146"/>
      <c r="K60" s="147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</row>
    <row r="61" spans="1:26" x14ac:dyDescent="0.2">
      <c r="A61" s="78"/>
      <c r="B61" s="81"/>
      <c r="C61" s="116"/>
      <c r="D61" s="74"/>
      <c r="E61" s="3"/>
      <c r="F61" s="84"/>
      <c r="G61" s="78"/>
      <c r="H61" s="190"/>
      <c r="I61" s="149"/>
      <c r="J61" s="149"/>
      <c r="K61" s="150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</row>
    <row r="62" spans="1:26" ht="16" thickBot="1" x14ac:dyDescent="0.25">
      <c r="A62" s="78"/>
      <c r="B62" s="83" t="s">
        <v>4</v>
      </c>
      <c r="C62" s="82"/>
      <c r="D62" s="82"/>
      <c r="E62" s="90">
        <f>SUM(D31,D34,D40,D46,D52,D55,D60)</f>
        <v>0</v>
      </c>
      <c r="F62" s="85">
        <f>SUM(F31,F34,F40,F46,F52,F55,F60)</f>
        <v>0</v>
      </c>
      <c r="G62" s="78"/>
      <c r="H62" s="190"/>
      <c r="I62" s="149"/>
      <c r="J62" s="149"/>
      <c r="K62" s="150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</row>
    <row r="63" spans="1:26" x14ac:dyDescent="0.2">
      <c r="A63" s="78"/>
      <c r="B63" s="100"/>
      <c r="C63" s="101"/>
      <c r="D63" s="101"/>
      <c r="E63" s="102"/>
      <c r="F63" s="84"/>
      <c r="G63" s="78"/>
      <c r="H63" s="144"/>
      <c r="I63" s="149"/>
      <c r="J63" s="149"/>
      <c r="K63" s="150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</row>
    <row r="64" spans="1:26" x14ac:dyDescent="0.2">
      <c r="A64" s="78"/>
      <c r="B64" s="103" t="s">
        <v>85</v>
      </c>
      <c r="C64" s="104" t="e">
        <f>(D65)/(E81+E62)</f>
        <v>#DIV/0!</v>
      </c>
      <c r="D64" s="101"/>
      <c r="E64" s="102"/>
      <c r="F64" s="84"/>
      <c r="G64" s="78"/>
      <c r="H64" s="144"/>
      <c r="I64" s="149"/>
      <c r="J64" s="149"/>
      <c r="K64" s="150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</row>
    <row r="65" spans="1:26" x14ac:dyDescent="0.2">
      <c r="A65" s="78"/>
      <c r="B65" s="105" t="s">
        <v>94</v>
      </c>
      <c r="C65" s="101"/>
      <c r="D65" s="106">
        <f>SUM(E66:E68)</f>
        <v>0</v>
      </c>
      <c r="E65" s="102"/>
      <c r="F65" s="87">
        <f>SUM(F66:F68)</f>
        <v>0</v>
      </c>
      <c r="G65" s="78"/>
      <c r="H65" s="144"/>
      <c r="I65" s="149"/>
      <c r="J65" s="149"/>
      <c r="K65" s="150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</row>
    <row r="66" spans="1:26" x14ac:dyDescent="0.2">
      <c r="A66" s="78"/>
      <c r="B66" s="107" t="s">
        <v>88</v>
      </c>
      <c r="C66" s="101"/>
      <c r="D66" s="101"/>
      <c r="E66" s="102">
        <f>SUMIF(Table4491423421[Category],"Emergency Fund",Table4491423421[Amount])</f>
        <v>0</v>
      </c>
      <c r="F66" s="84"/>
      <c r="G66" s="78"/>
      <c r="H66" s="144"/>
      <c r="I66" s="149"/>
      <c r="J66" s="149"/>
      <c r="K66" s="150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</row>
    <row r="67" spans="1:26" x14ac:dyDescent="0.2">
      <c r="A67" s="78"/>
      <c r="B67" s="107" t="s">
        <v>55</v>
      </c>
      <c r="C67" s="101"/>
      <c r="D67" s="101"/>
      <c r="E67" s="102">
        <f>SUMIF(Table4491423421[Category],"Retirement",Table4491423421[Amount])</f>
        <v>0</v>
      </c>
      <c r="F67" s="84"/>
      <c r="G67" s="78"/>
      <c r="H67" s="144"/>
      <c r="I67" s="149"/>
      <c r="J67" s="149"/>
      <c r="K67" s="150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</row>
    <row r="68" spans="1:26" ht="14.25" customHeight="1" x14ac:dyDescent="0.2">
      <c r="A68" s="78"/>
      <c r="B68" s="107" t="s">
        <v>53</v>
      </c>
      <c r="C68" s="101"/>
      <c r="D68" s="101"/>
      <c r="E68" s="102">
        <f>SUMIF(Table4491423421[Category],"Investment",Table4491423421[Amount])</f>
        <v>0</v>
      </c>
      <c r="F68" s="84"/>
      <c r="G68" s="78"/>
      <c r="H68" s="144"/>
      <c r="I68" s="149"/>
      <c r="J68" s="149"/>
      <c r="K68" s="150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</row>
    <row r="69" spans="1:26" x14ac:dyDescent="0.2">
      <c r="A69" s="78"/>
      <c r="B69" s="100"/>
      <c r="C69" s="101"/>
      <c r="D69" s="101"/>
      <c r="E69" s="102"/>
      <c r="F69" s="84"/>
      <c r="G69" s="78"/>
      <c r="H69" s="144"/>
      <c r="I69" s="149"/>
      <c r="J69" s="149"/>
      <c r="K69" s="150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</row>
    <row r="70" spans="1:26" x14ac:dyDescent="0.2">
      <c r="A70" s="78"/>
      <c r="B70" s="103" t="s">
        <v>86</v>
      </c>
      <c r="C70" s="104" t="e">
        <f>D71/(E81+E62)</f>
        <v>#DIV/0!</v>
      </c>
      <c r="D70" s="101"/>
      <c r="E70" s="102"/>
      <c r="F70" s="84"/>
      <c r="G70" s="78"/>
      <c r="H70" s="144"/>
      <c r="I70" s="149"/>
      <c r="J70" s="149"/>
      <c r="K70" s="150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</row>
    <row r="71" spans="1:26" x14ac:dyDescent="0.2">
      <c r="A71" s="52"/>
      <c r="B71" s="105" t="s">
        <v>95</v>
      </c>
      <c r="C71" s="108"/>
      <c r="D71" s="106">
        <f>SUM(E72:E73)</f>
        <v>0</v>
      </c>
      <c r="E71" s="109"/>
      <c r="F71" s="87">
        <f>SUM(F72:F73)</f>
        <v>0</v>
      </c>
      <c r="G71" s="78"/>
      <c r="H71" s="144"/>
      <c r="I71" s="149"/>
      <c r="J71" s="149"/>
      <c r="K71" s="150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</row>
    <row r="72" spans="1:26" x14ac:dyDescent="0.2">
      <c r="A72" s="78"/>
      <c r="B72" s="110" t="s">
        <v>43</v>
      </c>
      <c r="C72" s="101"/>
      <c r="D72" s="101"/>
      <c r="E72" s="102">
        <f>SUMIF(Table4491423421[Category],"Donations",Table4491423421[Amount])</f>
        <v>0</v>
      </c>
      <c r="F72" s="84"/>
      <c r="G72" s="78"/>
      <c r="H72" s="144"/>
      <c r="I72" s="149"/>
      <c r="J72" s="149"/>
      <c r="K72" s="150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</row>
    <row r="73" spans="1:26" x14ac:dyDescent="0.2">
      <c r="A73" s="78"/>
      <c r="B73" s="110" t="s">
        <v>90</v>
      </c>
      <c r="C73" s="101"/>
      <c r="D73" s="101"/>
      <c r="E73" s="102">
        <f>SUMIF(Table4491423421[Category],"Offering",Table4491423421[Amount])</f>
        <v>0</v>
      </c>
      <c r="F73" s="84"/>
      <c r="G73" s="78"/>
      <c r="H73" s="144"/>
      <c r="I73" s="149"/>
      <c r="J73" s="149"/>
      <c r="K73" s="150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</row>
    <row r="74" spans="1:26" x14ac:dyDescent="0.2">
      <c r="A74" s="78"/>
      <c r="B74" s="110"/>
      <c r="C74" s="101"/>
      <c r="D74" s="101"/>
      <c r="E74" s="102"/>
      <c r="F74" s="84"/>
      <c r="G74" s="78"/>
      <c r="H74" s="144"/>
      <c r="I74" s="149"/>
      <c r="J74" s="149"/>
      <c r="K74" s="150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</row>
    <row r="75" spans="1:26" x14ac:dyDescent="0.2">
      <c r="A75" s="78"/>
      <c r="B75" s="111" t="s">
        <v>89</v>
      </c>
      <c r="C75" s="104" t="e">
        <f>D76/(E81+E62)</f>
        <v>#DIV/0!</v>
      </c>
      <c r="D75" s="101"/>
      <c r="E75" s="102"/>
      <c r="F75" s="84"/>
      <c r="G75" s="78"/>
      <c r="H75" s="144"/>
      <c r="I75" s="149"/>
      <c r="J75" s="149"/>
      <c r="K75" s="150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</row>
    <row r="76" spans="1:26" x14ac:dyDescent="0.2">
      <c r="A76" s="78"/>
      <c r="B76" s="112" t="s">
        <v>104</v>
      </c>
      <c r="C76" s="101"/>
      <c r="D76" s="106">
        <f>SUM(E77:E79)</f>
        <v>0</v>
      </c>
      <c r="E76" s="102"/>
      <c r="F76" s="87">
        <f>SUM(F77:F79)</f>
        <v>0</v>
      </c>
      <c r="G76" s="78"/>
      <c r="H76" s="144"/>
      <c r="I76" s="149"/>
      <c r="J76" s="149"/>
      <c r="K76" s="150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</row>
    <row r="77" spans="1:26" x14ac:dyDescent="0.2">
      <c r="A77" s="78"/>
      <c r="B77" s="110" t="s">
        <v>92</v>
      </c>
      <c r="C77" s="101"/>
      <c r="D77" s="101"/>
      <c r="E77" s="102">
        <f>SUMIF(Table4491423421[Category],"Student Loan",Table4491423421[Amount])</f>
        <v>0</v>
      </c>
      <c r="F77" s="84"/>
      <c r="G77" s="78"/>
      <c r="H77" s="144"/>
      <c r="I77" s="149"/>
      <c r="J77" s="149"/>
      <c r="K77" s="150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</row>
    <row r="78" spans="1:26" x14ac:dyDescent="0.2">
      <c r="A78" s="78"/>
      <c r="B78" s="107" t="s">
        <v>91</v>
      </c>
      <c r="C78" s="101"/>
      <c r="D78" s="101"/>
      <c r="E78" s="102">
        <f>SUMIF(Table4491423421[Category],"Credit Card",Table4491423421[Amount])</f>
        <v>0</v>
      </c>
      <c r="F78" s="84"/>
      <c r="G78" s="78"/>
      <c r="H78" s="144"/>
      <c r="I78" s="149"/>
      <c r="J78" s="149"/>
      <c r="K78" s="150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</row>
    <row r="79" spans="1:26" x14ac:dyDescent="0.2">
      <c r="A79" s="78"/>
      <c r="B79" s="110" t="s">
        <v>93</v>
      </c>
      <c r="C79" s="101"/>
      <c r="D79" s="101"/>
      <c r="E79" s="102">
        <f>SUMIF(Table4491423421[Category],"Car",Table4491423421[Amount])</f>
        <v>0</v>
      </c>
      <c r="F79" s="84"/>
      <c r="G79" s="1"/>
      <c r="H79" s="144"/>
      <c r="I79" s="149"/>
      <c r="J79" s="149"/>
      <c r="K79" s="150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</row>
    <row r="80" spans="1:26" s="54" customFormat="1" x14ac:dyDescent="0.2">
      <c r="A80" s="78"/>
      <c r="B80" s="111"/>
      <c r="C80" s="101"/>
      <c r="D80" s="101"/>
      <c r="E80" s="102"/>
      <c r="F80" s="84"/>
      <c r="G80" s="53"/>
      <c r="H80" s="148"/>
      <c r="I80" s="151"/>
      <c r="J80" s="151"/>
      <c r="K80" s="1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spans="1:26" ht="16" thickBot="1" x14ac:dyDescent="0.25">
      <c r="A81" s="78"/>
      <c r="B81" s="113" t="s">
        <v>35</v>
      </c>
      <c r="C81" s="114"/>
      <c r="D81" s="114"/>
      <c r="E81" s="115">
        <f>SUM(D65,D76,D71)</f>
        <v>0</v>
      </c>
      <c r="F81" s="85">
        <f>SUM(F65,F71,F76)</f>
        <v>0</v>
      </c>
      <c r="G81" s="1"/>
      <c r="H81" s="153"/>
      <c r="I81" s="154"/>
      <c r="J81" s="154"/>
      <c r="K81" s="155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</row>
    <row r="82" spans="1:26" x14ac:dyDescent="0.2">
      <c r="A82" s="78"/>
      <c r="B82" s="78"/>
      <c r="C82" s="78"/>
      <c r="D82" s="78"/>
      <c r="E82" s="78"/>
      <c r="F82" s="78"/>
      <c r="G82" s="1"/>
      <c r="H82" s="1"/>
      <c r="I82" s="1"/>
      <c r="J82" s="1"/>
      <c r="K82" s="1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</row>
    <row r="83" spans="1:26" ht="16" thickBot="1" x14ac:dyDescent="0.25">
      <c r="A83" s="78"/>
      <c r="B83" s="78"/>
      <c r="C83" s="78"/>
      <c r="D83" s="78"/>
      <c r="E83" s="78"/>
      <c r="F83" s="78"/>
      <c r="G83" s="1"/>
      <c r="H83" s="1"/>
      <c r="I83" s="1"/>
      <c r="J83" s="1"/>
      <c r="K83" s="1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</row>
    <row r="84" spans="1:26" x14ac:dyDescent="0.2">
      <c r="A84" s="78"/>
      <c r="B84" s="195" t="str">
        <f>B30</f>
        <v>LIVING EXPENSES</v>
      </c>
      <c r="C84" s="196" t="e">
        <f>C30</f>
        <v>#DIV/0!</v>
      </c>
      <c r="D84" s="78"/>
      <c r="E84" s="78"/>
      <c r="F84" s="78"/>
      <c r="G84" s="78"/>
      <c r="H84" s="1"/>
      <c r="I84" s="1"/>
      <c r="J84" s="1"/>
      <c r="K84" s="1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</row>
    <row r="85" spans="1:26" x14ac:dyDescent="0.2">
      <c r="A85" s="78"/>
      <c r="B85" s="144" t="str">
        <f>B51</f>
        <v>INDULGENCE EXPENSES</v>
      </c>
      <c r="C85" s="197" t="e">
        <f>C51</f>
        <v>#DIV/0!</v>
      </c>
      <c r="D85" s="78"/>
      <c r="E85" s="78"/>
      <c r="F85" s="78"/>
      <c r="G85" s="78"/>
      <c r="H85" s="1"/>
      <c r="I85" s="1"/>
      <c r="J85" s="1"/>
      <c r="K85" s="1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</row>
    <row r="86" spans="1:26" x14ac:dyDescent="0.2">
      <c r="A86" s="78"/>
      <c r="B86" s="144" t="str">
        <f>B64</f>
        <v>SAVINGS</v>
      </c>
      <c r="C86" s="197" t="e">
        <f>C64</f>
        <v>#DIV/0!</v>
      </c>
      <c r="D86" s="78"/>
      <c r="E86" s="78"/>
      <c r="F86" s="78"/>
      <c r="G86" s="78"/>
      <c r="H86" s="1"/>
      <c r="I86" s="1"/>
      <c r="J86" s="1"/>
      <c r="K86" s="1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</row>
    <row r="87" spans="1:26" x14ac:dyDescent="0.2">
      <c r="A87" s="78"/>
      <c r="B87" s="144" t="str">
        <f>B70</f>
        <v>TITHINGS</v>
      </c>
      <c r="C87" s="197" t="e">
        <f>C70</f>
        <v>#DIV/0!</v>
      </c>
      <c r="D87" s="78"/>
      <c r="E87" s="78"/>
      <c r="F87" s="78"/>
      <c r="G87" s="78"/>
      <c r="H87" s="1"/>
      <c r="I87" s="1"/>
      <c r="J87" s="1"/>
      <c r="K87" s="1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</row>
    <row r="88" spans="1:26" ht="16" thickBot="1" x14ac:dyDescent="0.25">
      <c r="A88" s="78"/>
      <c r="B88" s="153" t="str">
        <f>B75</f>
        <v>DEBT REPAYMENT</v>
      </c>
      <c r="C88" s="198" t="e">
        <f>C75</f>
        <v>#DIV/0!</v>
      </c>
      <c r="D88" s="78"/>
      <c r="E88" s="78"/>
      <c r="F88" s="78"/>
      <c r="G88" s="78"/>
      <c r="H88" s="1"/>
      <c r="I88" s="1"/>
      <c r="J88" s="1"/>
      <c r="K88" s="1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</row>
    <row r="89" spans="1:26" x14ac:dyDescent="0.2">
      <c r="A89" s="78"/>
      <c r="B89" s="78"/>
      <c r="C89" s="78"/>
      <c r="D89" s="78"/>
      <c r="E89" s="78"/>
      <c r="F89" s="78"/>
      <c r="G89" s="78"/>
      <c r="H89" s="1"/>
      <c r="I89" s="1"/>
      <c r="J89" s="1"/>
      <c r="K89" s="1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</row>
    <row r="90" spans="1:26" x14ac:dyDescent="0.2">
      <c r="A90" s="78"/>
      <c r="B90" s="78"/>
      <c r="C90" s="78"/>
      <c r="D90" s="78"/>
      <c r="E90" s="78"/>
      <c r="F90" s="78"/>
      <c r="G90" s="78"/>
      <c r="H90" s="1"/>
      <c r="I90" s="1"/>
      <c r="J90" s="1"/>
      <c r="K90" s="1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</row>
    <row r="91" spans="1:26" x14ac:dyDescent="0.2">
      <c r="A91" s="78"/>
      <c r="B91" s="78"/>
      <c r="C91" s="78"/>
      <c r="D91" s="78"/>
      <c r="E91" s="78"/>
      <c r="F91" s="78"/>
      <c r="G91" s="78"/>
      <c r="H91" s="1"/>
      <c r="I91" s="1"/>
      <c r="J91" s="1"/>
      <c r="K91" s="1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</row>
    <row r="92" spans="1:26" x14ac:dyDescent="0.2">
      <c r="A92" s="78"/>
      <c r="B92" s="78"/>
      <c r="C92" s="78"/>
      <c r="D92" s="78"/>
      <c r="E92" s="78"/>
      <c r="F92" s="78"/>
      <c r="G92" s="78"/>
      <c r="H92" s="1"/>
      <c r="I92" s="1"/>
      <c r="J92" s="1"/>
      <c r="K92" s="1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</row>
    <row r="93" spans="1:26" x14ac:dyDescent="0.2">
      <c r="A93" s="78"/>
      <c r="B93" s="78"/>
      <c r="C93" s="78"/>
      <c r="D93" s="78"/>
      <c r="E93" s="78"/>
      <c r="F93" s="78"/>
      <c r="G93" s="78"/>
      <c r="H93" s="1"/>
      <c r="I93" s="1"/>
      <c r="J93" s="1"/>
      <c r="K93" s="1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</row>
    <row r="94" spans="1:26" x14ac:dyDescent="0.2">
      <c r="A94" s="78"/>
      <c r="B94" s="78"/>
      <c r="C94" s="78"/>
      <c r="D94" s="78"/>
      <c r="E94" s="78"/>
      <c r="F94" s="78"/>
      <c r="G94" s="78"/>
      <c r="H94" s="1"/>
      <c r="I94" s="1"/>
      <c r="J94" s="1"/>
      <c r="K94" s="1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</row>
    <row r="95" spans="1:26" x14ac:dyDescent="0.2">
      <c r="A95" s="78"/>
      <c r="B95" s="78"/>
      <c r="C95" s="78"/>
      <c r="D95" s="78"/>
      <c r="E95" s="78"/>
      <c r="F95" s="78"/>
      <c r="G95" s="78"/>
      <c r="H95" s="1"/>
      <c r="I95" s="1"/>
      <c r="J95" s="1"/>
      <c r="K95" s="1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</row>
    <row r="96" spans="1:26" x14ac:dyDescent="0.2">
      <c r="A96" s="78"/>
      <c r="B96" s="78"/>
      <c r="C96" s="78"/>
      <c r="D96" s="78"/>
      <c r="E96" s="78"/>
      <c r="F96" s="78"/>
      <c r="G96" s="1"/>
      <c r="H96" s="1"/>
      <c r="I96" s="1"/>
      <c r="J96" s="1"/>
      <c r="K96" s="1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</row>
    <row r="97" spans="1:26" x14ac:dyDescent="0.2">
      <c r="A97" s="78"/>
      <c r="B97" s="78"/>
      <c r="C97" s="78"/>
      <c r="D97" s="78"/>
      <c r="E97" s="78"/>
      <c r="F97" s="78"/>
      <c r="G97" s="1"/>
      <c r="H97" s="1"/>
      <c r="I97" s="1"/>
      <c r="J97" s="1"/>
      <c r="K97" s="1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</row>
    <row r="98" spans="1:26" x14ac:dyDescent="0.2">
      <c r="A98" s="78"/>
      <c r="B98" s="78"/>
      <c r="C98" s="78"/>
      <c r="D98" s="78"/>
      <c r="E98" s="78"/>
      <c r="F98" s="78"/>
      <c r="G98" s="1"/>
      <c r="H98" s="1"/>
      <c r="I98" s="1"/>
      <c r="J98" s="1"/>
      <c r="K98" s="1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</row>
    <row r="99" spans="1:26" x14ac:dyDescent="0.2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</row>
    <row r="100" spans="1:26" x14ac:dyDescent="0.2">
      <c r="A100" s="78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</row>
    <row r="101" spans="1:26" x14ac:dyDescent="0.2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</row>
    <row r="102" spans="1:26" x14ac:dyDescent="0.2">
      <c r="A102" s="78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</row>
    <row r="103" spans="1:26" x14ac:dyDescent="0.2">
      <c r="A103" s="78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</row>
    <row r="104" spans="1:26" x14ac:dyDescent="0.2">
      <c r="A104" s="78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</row>
    <row r="105" spans="1:26" x14ac:dyDescent="0.2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</row>
    <row r="106" spans="1:26" x14ac:dyDescent="0.2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</row>
    <row r="107" spans="1:26" x14ac:dyDescent="0.2">
      <c r="A107" s="78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</row>
    <row r="108" spans="1:26" x14ac:dyDescent="0.2">
      <c r="A108" s="78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</row>
  </sheetData>
  <mergeCells count="11">
    <mergeCell ref="D9:E9"/>
    <mergeCell ref="B2:I2"/>
    <mergeCell ref="B6:C6"/>
    <mergeCell ref="D6:F6"/>
    <mergeCell ref="D7:E7"/>
    <mergeCell ref="D8:E8"/>
    <mergeCell ref="D10:E10"/>
    <mergeCell ref="D12:E12"/>
    <mergeCell ref="D13:E13"/>
    <mergeCell ref="B15:F15"/>
    <mergeCell ref="H20:K20"/>
  </mergeCells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3C39C-04CC-452E-AE9D-3A76F0BD5D51}">
  <dimension ref="A1:Z108"/>
  <sheetViews>
    <sheetView workbookViewId="0"/>
  </sheetViews>
  <sheetFormatPr baseColWidth="10" defaultColWidth="9.1640625" defaultRowHeight="15" x14ac:dyDescent="0.2"/>
  <cols>
    <col min="1" max="1" width="10.6640625" style="75" customWidth="1"/>
    <col min="2" max="2" width="21.1640625" style="75" customWidth="1"/>
    <col min="3" max="6" width="10.6640625" style="75" customWidth="1"/>
    <col min="7" max="7" width="11" style="75" customWidth="1"/>
    <col min="8" max="8" width="12.6640625" style="75" customWidth="1"/>
    <col min="9" max="9" width="31.5" style="75" customWidth="1"/>
    <col min="10" max="10" width="15.6640625" style="75" customWidth="1"/>
    <col min="11" max="11" width="11.6640625" style="75" customWidth="1"/>
    <col min="12" max="13" width="9.1640625" style="75"/>
    <col min="14" max="19" width="10.6640625" style="75" customWidth="1"/>
    <col min="20" max="16384" width="9.1640625" style="75"/>
  </cols>
  <sheetData>
    <row r="1" spans="1:26" ht="16" thickBo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ht="20" thickBot="1" x14ac:dyDescent="0.3">
      <c r="A2" s="78"/>
      <c r="B2" s="214" t="s">
        <v>179</v>
      </c>
      <c r="C2" s="215"/>
      <c r="D2" s="215"/>
      <c r="E2" s="215"/>
      <c r="F2" s="215"/>
      <c r="G2" s="215"/>
      <c r="H2" s="215"/>
      <c r="I2" s="216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26" x14ac:dyDescent="0.2">
      <c r="A3" s="78"/>
      <c r="B3" s="140" t="s">
        <v>59</v>
      </c>
      <c r="C3" s="141" t="s">
        <v>20</v>
      </c>
      <c r="D3" s="141" t="s">
        <v>52</v>
      </c>
      <c r="E3" s="141" t="s">
        <v>12</v>
      </c>
      <c r="F3" s="142" t="s">
        <v>54</v>
      </c>
      <c r="G3" s="142" t="s">
        <v>14</v>
      </c>
      <c r="H3" s="142" t="s">
        <v>60</v>
      </c>
      <c r="I3" s="143" t="s">
        <v>55</v>
      </c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26" ht="16" thickBot="1" x14ac:dyDescent="0.25">
      <c r="A4" s="78"/>
      <c r="B4" s="95">
        <v>0</v>
      </c>
      <c r="C4" s="96">
        <v>0</v>
      </c>
      <c r="D4" s="96">
        <v>0</v>
      </c>
      <c r="E4" s="96">
        <v>0</v>
      </c>
      <c r="F4" s="97">
        <v>0</v>
      </c>
      <c r="G4" s="98">
        <v>0</v>
      </c>
      <c r="H4" s="98">
        <v>0</v>
      </c>
      <c r="I4" s="99">
        <v>0</v>
      </c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26" ht="16" thickBot="1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spans="1:26" ht="19" x14ac:dyDescent="0.25">
      <c r="A6" s="78"/>
      <c r="B6" s="217" t="s">
        <v>180</v>
      </c>
      <c r="C6" s="218"/>
      <c r="D6" s="219" t="s">
        <v>181</v>
      </c>
      <c r="E6" s="220"/>
      <c r="F6" s="221"/>
      <c r="G6" s="78"/>
      <c r="H6" s="1"/>
      <c r="I6" s="1"/>
      <c r="J6" s="1"/>
      <c r="K6" s="1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pans="1:26" x14ac:dyDescent="0.2">
      <c r="A7" s="78"/>
      <c r="B7" s="117" t="s">
        <v>2</v>
      </c>
      <c r="C7" s="118">
        <v>0</v>
      </c>
      <c r="D7" s="222" t="str">
        <f t="shared" ref="D7:D13" si="0">B7</f>
        <v>Income</v>
      </c>
      <c r="E7" s="223"/>
      <c r="F7" s="119">
        <f>F27</f>
        <v>0</v>
      </c>
      <c r="G7" s="78"/>
      <c r="H7" s="1"/>
      <c r="I7" s="1"/>
      <c r="J7" s="1"/>
      <c r="K7" s="1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</row>
    <row r="8" spans="1:26" x14ac:dyDescent="0.2">
      <c r="A8" s="78"/>
      <c r="B8" s="120" t="s">
        <v>12</v>
      </c>
      <c r="C8" s="121">
        <f>SUM(F66:F68)</f>
        <v>0</v>
      </c>
      <c r="D8" s="228" t="str">
        <f t="shared" si="0"/>
        <v>Savings</v>
      </c>
      <c r="E8" s="229"/>
      <c r="F8" s="122">
        <f>D65</f>
        <v>0</v>
      </c>
      <c r="G8" s="78"/>
      <c r="H8" s="1"/>
      <c r="I8" s="1"/>
      <c r="J8" s="1"/>
      <c r="K8" s="1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</row>
    <row r="9" spans="1:26" x14ac:dyDescent="0.2">
      <c r="A9" s="78"/>
      <c r="B9" s="123" t="s">
        <v>120</v>
      </c>
      <c r="C9" s="124">
        <f>SUM(F72:F73)</f>
        <v>0</v>
      </c>
      <c r="D9" s="232" t="str">
        <f t="shared" si="0"/>
        <v>Tithing</v>
      </c>
      <c r="E9" s="232"/>
      <c r="F9" s="125">
        <f>D71</f>
        <v>0</v>
      </c>
      <c r="G9" s="78"/>
      <c r="H9" s="1"/>
      <c r="I9" s="1"/>
      <c r="J9" s="1"/>
      <c r="K9" s="1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</row>
    <row r="10" spans="1:26" x14ac:dyDescent="0.2">
      <c r="A10" s="78"/>
      <c r="B10" s="126" t="s">
        <v>14</v>
      </c>
      <c r="C10" s="127">
        <f>SUM(F77:F79)</f>
        <v>0</v>
      </c>
      <c r="D10" s="230" t="str">
        <f t="shared" si="0"/>
        <v>Debt</v>
      </c>
      <c r="E10" s="231"/>
      <c r="F10" s="128">
        <f>D76</f>
        <v>0</v>
      </c>
      <c r="G10" s="78"/>
      <c r="H10" s="1"/>
      <c r="I10" s="1"/>
      <c r="J10" s="1"/>
      <c r="K10" s="1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</row>
    <row r="11" spans="1:26" x14ac:dyDescent="0.2">
      <c r="A11" s="78"/>
      <c r="B11" s="129" t="s">
        <v>124</v>
      </c>
      <c r="C11" s="130">
        <f>C7-C8-C9-C10</f>
        <v>0</v>
      </c>
      <c r="D11" s="131" t="str">
        <f t="shared" si="0"/>
        <v>Budgeted</v>
      </c>
      <c r="E11" s="132"/>
      <c r="F11" s="133">
        <f>F7-F8-F9-F10</f>
        <v>0</v>
      </c>
      <c r="G11" s="78"/>
      <c r="H11" s="1"/>
      <c r="I11" s="1"/>
      <c r="J11" s="1"/>
      <c r="K11" s="1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</row>
    <row r="12" spans="1:26" x14ac:dyDescent="0.2">
      <c r="A12" s="78"/>
      <c r="B12" s="134" t="s">
        <v>0</v>
      </c>
      <c r="C12" s="135">
        <f>F62</f>
        <v>0</v>
      </c>
      <c r="D12" s="224" t="str">
        <f t="shared" si="0"/>
        <v>Expenses</v>
      </c>
      <c r="E12" s="225"/>
      <c r="F12" s="136">
        <f>E62</f>
        <v>0</v>
      </c>
      <c r="G12" s="78"/>
      <c r="H12" s="1"/>
      <c r="I12" s="1"/>
      <c r="J12" s="1"/>
      <c r="K12" s="1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</row>
    <row r="13" spans="1:26" ht="16" thickBot="1" x14ac:dyDescent="0.25">
      <c r="A13" s="78"/>
      <c r="B13" s="137" t="s">
        <v>123</v>
      </c>
      <c r="C13" s="138">
        <f>C11-C12</f>
        <v>0</v>
      </c>
      <c r="D13" s="226" t="str">
        <f t="shared" si="0"/>
        <v>Remaining</v>
      </c>
      <c r="E13" s="227"/>
      <c r="F13" s="139">
        <f>F11-F12</f>
        <v>0</v>
      </c>
      <c r="G13" s="78"/>
      <c r="H13" s="1"/>
      <c r="I13" s="1"/>
      <c r="J13" s="1"/>
      <c r="K13" s="1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</row>
    <row r="14" spans="1:26" ht="16" thickBot="1" x14ac:dyDescent="0.25">
      <c r="A14" s="78"/>
      <c r="B14" s="78"/>
      <c r="C14" s="78"/>
      <c r="D14" s="78"/>
      <c r="E14" s="78"/>
      <c r="F14" s="78"/>
      <c r="G14" s="78"/>
      <c r="H14" s="1"/>
      <c r="I14" s="1"/>
      <c r="J14" s="1"/>
      <c r="K14" s="1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</row>
    <row r="15" spans="1:26" ht="20" thickBot="1" x14ac:dyDescent="0.3">
      <c r="A15" s="78"/>
      <c r="B15" s="214" t="s">
        <v>182</v>
      </c>
      <c r="C15" s="215"/>
      <c r="D15" s="215"/>
      <c r="E15" s="215"/>
      <c r="F15" s="216"/>
      <c r="G15" s="78"/>
      <c r="H15" s="1"/>
      <c r="I15" s="1"/>
      <c r="J15" s="1"/>
      <c r="K15" s="1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</row>
    <row r="16" spans="1:26" ht="17" thickBot="1" x14ac:dyDescent="0.25">
      <c r="A16" s="78"/>
      <c r="B16" s="63" t="s">
        <v>2</v>
      </c>
      <c r="C16" s="64"/>
      <c r="D16" s="65"/>
      <c r="E16" s="65"/>
      <c r="F16" s="66"/>
      <c r="G16" s="78"/>
      <c r="H16" s="1"/>
      <c r="I16" s="1"/>
      <c r="J16" s="1"/>
      <c r="K16" s="1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</row>
    <row r="17" spans="1:26" x14ac:dyDescent="0.2">
      <c r="A17" s="78"/>
      <c r="B17" s="4"/>
      <c r="C17" s="2"/>
      <c r="D17" s="2"/>
      <c r="E17" s="2"/>
      <c r="F17" s="62"/>
      <c r="G17" s="78"/>
      <c r="H17" s="1"/>
      <c r="I17" s="1"/>
      <c r="J17" s="1"/>
      <c r="K17" s="1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</row>
    <row r="18" spans="1:26" x14ac:dyDescent="0.2">
      <c r="A18" s="78"/>
      <c r="B18" s="4"/>
      <c r="C18" s="2"/>
      <c r="D18" s="2"/>
      <c r="E18" s="2"/>
      <c r="F18" s="55"/>
      <c r="G18" s="78"/>
      <c r="H18" s="1"/>
      <c r="I18" s="1"/>
      <c r="J18" s="1"/>
      <c r="K18" s="1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</row>
    <row r="19" spans="1:26" ht="16" thickBot="1" x14ac:dyDescent="0.25">
      <c r="A19" s="78"/>
      <c r="B19" s="4"/>
      <c r="C19" s="2"/>
      <c r="D19" s="2"/>
      <c r="E19" s="2"/>
      <c r="F19" s="55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</row>
    <row r="20" spans="1:26" ht="20" thickBot="1" x14ac:dyDescent="0.3">
      <c r="A20" s="78"/>
      <c r="B20" s="4"/>
      <c r="C20" s="2"/>
      <c r="D20" s="2"/>
      <c r="E20" s="2"/>
      <c r="F20" s="55"/>
      <c r="G20" s="78"/>
      <c r="H20" s="214" t="s">
        <v>183</v>
      </c>
      <c r="I20" s="215"/>
      <c r="J20" s="215"/>
      <c r="K20" s="216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</row>
    <row r="21" spans="1:26" x14ac:dyDescent="0.2">
      <c r="A21" s="78"/>
      <c r="B21" s="4"/>
      <c r="C21" s="2"/>
      <c r="D21" s="2"/>
      <c r="E21" s="2"/>
      <c r="F21" s="55"/>
      <c r="G21" s="78"/>
      <c r="H21" s="76" t="s">
        <v>5</v>
      </c>
      <c r="I21" s="76" t="s">
        <v>7</v>
      </c>
      <c r="J21" s="76" t="s">
        <v>8</v>
      </c>
      <c r="K21" s="77" t="s">
        <v>6</v>
      </c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</row>
    <row r="22" spans="1:26" x14ac:dyDescent="0.2">
      <c r="A22" s="78"/>
      <c r="B22" s="4"/>
      <c r="C22" s="2"/>
      <c r="D22" s="2"/>
      <c r="E22" s="2"/>
      <c r="F22" s="55"/>
      <c r="G22" s="78"/>
      <c r="H22" s="79"/>
      <c r="I22" s="76"/>
      <c r="J22" s="76"/>
      <c r="K22" s="77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</row>
    <row r="23" spans="1:26" x14ac:dyDescent="0.2">
      <c r="A23" s="78"/>
      <c r="B23" s="4"/>
      <c r="C23" s="2"/>
      <c r="D23" s="2"/>
      <c r="E23" s="2"/>
      <c r="F23" s="55"/>
      <c r="G23" s="78"/>
      <c r="H23" s="79"/>
      <c r="I23" s="76"/>
      <c r="J23" s="76"/>
      <c r="K23" s="77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</row>
    <row r="24" spans="1:26" x14ac:dyDescent="0.2">
      <c r="A24" s="78"/>
      <c r="B24" s="4"/>
      <c r="C24" s="2"/>
      <c r="D24" s="2"/>
      <c r="E24" s="2"/>
      <c r="F24" s="55"/>
      <c r="G24" s="78"/>
      <c r="H24" s="79"/>
      <c r="I24" s="76"/>
      <c r="J24" s="76"/>
      <c r="K24" s="77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</row>
    <row r="25" spans="1:26" x14ac:dyDescent="0.2">
      <c r="A25" s="78"/>
      <c r="B25" s="4"/>
      <c r="C25" s="2"/>
      <c r="D25" s="2"/>
      <c r="E25" s="2"/>
      <c r="F25" s="55"/>
      <c r="G25" s="78"/>
      <c r="H25" s="79"/>
      <c r="I25" s="76"/>
      <c r="J25" s="76"/>
      <c r="K25" s="77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</row>
    <row r="26" spans="1:26" x14ac:dyDescent="0.2">
      <c r="A26" s="78"/>
      <c r="B26" s="5"/>
      <c r="C26" s="2"/>
      <c r="D26" s="2"/>
      <c r="E26" s="2"/>
      <c r="F26" s="56"/>
      <c r="G26" s="78"/>
      <c r="H26" s="79"/>
      <c r="I26" s="76"/>
      <c r="J26" s="76"/>
      <c r="K26" s="77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</row>
    <row r="27" spans="1:26" s="41" customFormat="1" ht="16" thickBot="1" x14ac:dyDescent="0.25">
      <c r="A27" s="78"/>
      <c r="B27" s="6" t="s">
        <v>3</v>
      </c>
      <c r="C27" s="7"/>
      <c r="D27" s="58"/>
      <c r="E27" s="58"/>
      <c r="F27" s="57">
        <f>SUM(F17:F26)</f>
        <v>0</v>
      </c>
      <c r="G27" s="78"/>
      <c r="H27" s="79"/>
      <c r="I27" s="76"/>
      <c r="J27" s="76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</row>
    <row r="28" spans="1:26" ht="16" thickBot="1" x14ac:dyDescent="0.25">
      <c r="A28" s="78"/>
      <c r="B28" s="59"/>
      <c r="C28" s="60"/>
      <c r="D28" s="60"/>
      <c r="E28" s="60"/>
      <c r="F28" s="61"/>
      <c r="G28" s="78"/>
      <c r="H28" s="79"/>
      <c r="I28" s="76"/>
      <c r="J28" s="76"/>
      <c r="K28" s="77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</row>
    <row r="29" spans="1:26" ht="17" thickBot="1" x14ac:dyDescent="0.25">
      <c r="A29" s="78"/>
      <c r="B29" s="51" t="s">
        <v>0</v>
      </c>
      <c r="C29" s="49"/>
      <c r="D29" s="49"/>
      <c r="E29" s="49"/>
      <c r="F29" s="68" t="s">
        <v>1</v>
      </c>
      <c r="G29" s="78"/>
      <c r="H29" s="79"/>
      <c r="I29" s="76"/>
      <c r="J29" s="76"/>
      <c r="K29" s="77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</row>
    <row r="30" spans="1:26" x14ac:dyDescent="0.2">
      <c r="A30" s="78"/>
      <c r="B30" s="67" t="s">
        <v>87</v>
      </c>
      <c r="C30" s="72" t="e">
        <f>(D31+D34+D40+D46)/(E81+E62)</f>
        <v>#DIV/0!</v>
      </c>
      <c r="D30" s="71"/>
      <c r="E30" s="89"/>
      <c r="F30" s="91"/>
      <c r="G30" s="78"/>
      <c r="H30" s="79"/>
      <c r="I30" s="76"/>
      <c r="J30" s="76"/>
      <c r="K30" s="77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</row>
    <row r="31" spans="1:26" x14ac:dyDescent="0.2">
      <c r="A31" s="78"/>
      <c r="B31" s="81" t="s">
        <v>37</v>
      </c>
      <c r="C31" s="3"/>
      <c r="D31" s="92">
        <f>SUM(E32:E33)</f>
        <v>0</v>
      </c>
      <c r="E31" s="3"/>
      <c r="F31" s="87">
        <f>SUM(F32:F33)</f>
        <v>0</v>
      </c>
      <c r="G31" s="78"/>
      <c r="H31" s="79"/>
      <c r="I31" s="76"/>
      <c r="J31" s="76"/>
      <c r="K31" s="77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</row>
    <row r="32" spans="1:26" x14ac:dyDescent="0.2">
      <c r="A32" s="78"/>
      <c r="B32" s="46" t="s">
        <v>62</v>
      </c>
      <c r="C32" s="3"/>
      <c r="D32" s="3"/>
      <c r="E32" s="3">
        <f>SUMIF(Table449142342122[Category],"Rent",Table449142342122[Amount])</f>
        <v>0</v>
      </c>
      <c r="F32" s="84"/>
      <c r="G32" s="78"/>
      <c r="H32" s="79"/>
      <c r="I32" s="76"/>
      <c r="J32" s="76"/>
      <c r="K32" s="77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</row>
    <row r="33" spans="1:26" x14ac:dyDescent="0.2">
      <c r="A33" s="78"/>
      <c r="B33" s="46" t="s">
        <v>38</v>
      </c>
      <c r="C33" s="3"/>
      <c r="D33" s="3"/>
      <c r="E33" s="3">
        <f>SUMIF(Table449142342122[Category],"Utilities",Table449142342122[Amount])</f>
        <v>0</v>
      </c>
      <c r="F33" s="84"/>
      <c r="G33" s="78"/>
      <c r="H33" s="79"/>
      <c r="I33" s="76"/>
      <c r="J33" s="76"/>
      <c r="K33" s="77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</row>
    <row r="34" spans="1:26" x14ac:dyDescent="0.2">
      <c r="A34" s="78"/>
      <c r="B34" s="47" t="s">
        <v>39</v>
      </c>
      <c r="C34" s="3"/>
      <c r="D34" s="92">
        <f>SUM(E35:E39)</f>
        <v>0</v>
      </c>
      <c r="E34" s="3"/>
      <c r="F34" s="87">
        <f>SUM(F35:F39)</f>
        <v>0</v>
      </c>
      <c r="G34" s="78"/>
      <c r="H34" s="79"/>
      <c r="I34" s="76"/>
      <c r="J34" s="76"/>
      <c r="K34" s="77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</row>
    <row r="35" spans="1:26" ht="15.75" customHeight="1" x14ac:dyDescent="0.2">
      <c r="A35" s="78"/>
      <c r="B35" s="46" t="s">
        <v>82</v>
      </c>
      <c r="C35" s="3"/>
      <c r="D35" s="3"/>
      <c r="E35" s="3">
        <f>SUMIF(Table449142342122[Category],"Restaurants",Table449142342122[Amount])</f>
        <v>0</v>
      </c>
      <c r="F35" s="84"/>
      <c r="G35" s="78"/>
      <c r="H35" s="79"/>
      <c r="I35" s="76"/>
      <c r="J35" s="76"/>
      <c r="K35" s="77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</row>
    <row r="36" spans="1:26" ht="14.25" customHeight="1" x14ac:dyDescent="0.2">
      <c r="A36" s="78"/>
      <c r="B36" s="46" t="s">
        <v>63</v>
      </c>
      <c r="C36" s="3"/>
      <c r="D36" s="3"/>
      <c r="E36" s="3">
        <f>SUMIF(Table449142342122[Category],"Fast Food",Table449142342122[Amount])</f>
        <v>0</v>
      </c>
      <c r="F36" s="84"/>
      <c r="G36" s="78"/>
      <c r="H36" s="79"/>
      <c r="I36" s="76"/>
      <c r="J36" s="76"/>
      <c r="K36" s="77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</row>
    <row r="37" spans="1:26" x14ac:dyDescent="0.2">
      <c r="A37" s="78"/>
      <c r="B37" s="46" t="s">
        <v>64</v>
      </c>
      <c r="C37" s="3"/>
      <c r="D37" s="3"/>
      <c r="E37" s="3">
        <f>SUMIF(Table449142342122[Category],"Groceries",Table449142342122[Amount])</f>
        <v>0</v>
      </c>
      <c r="F37" s="84"/>
      <c r="G37" s="78"/>
      <c r="H37" s="79"/>
      <c r="I37" s="76"/>
      <c r="J37" s="76"/>
      <c r="K37" s="77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</row>
    <row r="38" spans="1:26" x14ac:dyDescent="0.2">
      <c r="A38" s="78"/>
      <c r="B38" s="46" t="s">
        <v>65</v>
      </c>
      <c r="C38" s="3"/>
      <c r="D38" s="3"/>
      <c r="E38" s="3">
        <f>SUMIF(Table449142342122[Category],"Coffee",Table449142342122[Amount])</f>
        <v>0</v>
      </c>
      <c r="F38" s="84"/>
      <c r="G38" s="78"/>
      <c r="H38" s="79"/>
      <c r="I38" s="76"/>
      <c r="J38" s="76"/>
      <c r="K38" s="77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</row>
    <row r="39" spans="1:26" x14ac:dyDescent="0.2">
      <c r="A39" s="78"/>
      <c r="B39" s="46" t="s">
        <v>66</v>
      </c>
      <c r="C39" s="3"/>
      <c r="D39" s="3"/>
      <c r="E39" s="3">
        <f>SUMIF(Table449142342122[Category],"Bars",Table449142342122[Amount])</f>
        <v>0</v>
      </c>
      <c r="F39" s="84"/>
      <c r="G39" s="78"/>
      <c r="H39" s="79"/>
      <c r="I39" s="76"/>
      <c r="J39" s="76"/>
      <c r="K39" s="77"/>
      <c r="L39" s="78"/>
      <c r="M39" s="78"/>
      <c r="N39" s="37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spans="1:26" x14ac:dyDescent="0.2">
      <c r="A40" s="78"/>
      <c r="B40" s="48" t="s">
        <v>67</v>
      </c>
      <c r="C40" s="44"/>
      <c r="D40" s="93">
        <f>SUM(E41:E45)</f>
        <v>0</v>
      </c>
      <c r="E40" s="3"/>
      <c r="F40" s="88">
        <f>SUM(F41:F45)</f>
        <v>0</v>
      </c>
      <c r="G40" s="78"/>
      <c r="H40" s="79"/>
      <c r="I40" s="76"/>
      <c r="J40" s="76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spans="1:26" x14ac:dyDescent="0.2">
      <c r="A41" s="1"/>
      <c r="B41" s="46" t="s">
        <v>42</v>
      </c>
      <c r="C41" s="3"/>
      <c r="D41" s="3"/>
      <c r="E41" s="3">
        <f>SUMIF(Table449142342122[Category],"Gas",Table449142342122[Amount])</f>
        <v>0</v>
      </c>
      <c r="F41" s="84"/>
      <c r="G41" s="78"/>
      <c r="H41" s="79"/>
      <c r="I41" s="76"/>
      <c r="K41" s="77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</row>
    <row r="42" spans="1:26" x14ac:dyDescent="0.2">
      <c r="A42" s="1"/>
      <c r="B42" s="46" t="s">
        <v>68</v>
      </c>
      <c r="C42" s="116"/>
      <c r="D42" s="116"/>
      <c r="E42" s="3">
        <f>SUMIF(Table449142342122[Category],"Insurance",Table449142342122[Amount])</f>
        <v>0</v>
      </c>
      <c r="F42" s="84"/>
      <c r="G42" s="78"/>
      <c r="H42" s="79"/>
      <c r="J42" s="76"/>
      <c r="K42" s="77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</row>
    <row r="43" spans="1:26" x14ac:dyDescent="0.2">
      <c r="A43" s="18"/>
      <c r="B43" s="46" t="s">
        <v>83</v>
      </c>
      <c r="C43" s="116"/>
      <c r="D43" s="116"/>
      <c r="E43" s="3">
        <f>SUMIF(Table449142342122[Category],"Maintenance",Table449142342122[Amount])</f>
        <v>0</v>
      </c>
      <c r="F43" s="84"/>
      <c r="G43" s="78"/>
      <c r="H43" s="79"/>
      <c r="I43" s="76"/>
      <c r="J43" s="76"/>
      <c r="K43" s="77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</row>
    <row r="44" spans="1:26" x14ac:dyDescent="0.2">
      <c r="A44" s="43"/>
      <c r="B44" s="46" t="s">
        <v>69</v>
      </c>
      <c r="C44" s="116"/>
      <c r="D44" s="116"/>
      <c r="E44" s="3">
        <f>SUMIF(Table449142342122[Category],"Parking",Table449142342122[Amount])</f>
        <v>0</v>
      </c>
      <c r="F44" s="84"/>
      <c r="G44" s="78"/>
      <c r="H44" s="79"/>
      <c r="I44" s="76"/>
      <c r="J44" s="76"/>
      <c r="K44" s="77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</row>
    <row r="45" spans="1:26" x14ac:dyDescent="0.2">
      <c r="A45" s="78"/>
      <c r="B45" s="46" t="s">
        <v>40</v>
      </c>
      <c r="C45" s="116"/>
      <c r="D45" s="116"/>
      <c r="E45" s="3">
        <f>SUMIF(Table449142342122[Category],"Uber",Table449142342122[Amount])</f>
        <v>0</v>
      </c>
      <c r="F45" s="84"/>
      <c r="G45" s="78"/>
      <c r="H45" s="79"/>
      <c r="I45" s="76"/>
      <c r="J45" s="76"/>
      <c r="K45" s="77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</row>
    <row r="46" spans="1:26" x14ac:dyDescent="0.2">
      <c r="A46" s="1"/>
      <c r="B46" s="81" t="s">
        <v>70</v>
      </c>
      <c r="C46" s="116"/>
      <c r="D46" s="94">
        <f>SUM(E47:E48)</f>
        <v>0</v>
      </c>
      <c r="E46" s="3"/>
      <c r="F46" s="87">
        <f>SUM(F47:F48)</f>
        <v>0</v>
      </c>
      <c r="G46" s="78"/>
      <c r="H46" s="79"/>
      <c r="I46" s="76"/>
      <c r="J46" s="76"/>
      <c r="K46" s="77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</row>
    <row r="47" spans="1:26" x14ac:dyDescent="0.2">
      <c r="A47" s="1"/>
      <c r="B47" s="46" t="s">
        <v>44</v>
      </c>
      <c r="C47" s="116"/>
      <c r="D47" s="116"/>
      <c r="E47" s="3">
        <f>SUMIF(Table449142342122[Category],"Tuition",Table449142342122[Amount])</f>
        <v>0</v>
      </c>
      <c r="F47" s="84"/>
      <c r="G47" s="78"/>
      <c r="H47" s="79"/>
      <c r="I47" s="76"/>
      <c r="J47" s="76"/>
      <c r="K47" s="77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</row>
    <row r="48" spans="1:26" x14ac:dyDescent="0.2">
      <c r="A48" s="1"/>
      <c r="B48" s="46" t="s">
        <v>71</v>
      </c>
      <c r="C48" s="116"/>
      <c r="D48" s="116"/>
      <c r="E48" s="3">
        <f>SUMIF(Table449142342122[Category],"Books",Table449142342122[Amount])</f>
        <v>0</v>
      </c>
      <c r="F48" s="84"/>
      <c r="G48" s="78"/>
      <c r="H48" s="79"/>
      <c r="I48" s="76"/>
      <c r="J48" s="76"/>
      <c r="K48" s="77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</row>
    <row r="49" spans="1:26" x14ac:dyDescent="0.2">
      <c r="A49" s="1"/>
      <c r="B49" s="46"/>
      <c r="C49" s="116"/>
      <c r="D49" s="116"/>
      <c r="E49" s="3"/>
      <c r="F49" s="84"/>
      <c r="G49" s="78"/>
      <c r="H49" s="79"/>
      <c r="I49" s="76"/>
      <c r="J49" s="76"/>
      <c r="K49" s="77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</row>
    <row r="50" spans="1:26" x14ac:dyDescent="0.2">
      <c r="A50" s="1"/>
      <c r="B50" s="46"/>
      <c r="C50" s="116"/>
      <c r="D50" s="116"/>
      <c r="E50" s="3"/>
      <c r="F50" s="84"/>
      <c r="G50" s="78"/>
      <c r="H50" s="79"/>
      <c r="I50" s="76"/>
      <c r="J50" s="76"/>
      <c r="K50" s="77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</row>
    <row r="51" spans="1:26" x14ac:dyDescent="0.2">
      <c r="A51" s="1"/>
      <c r="B51" s="50" t="s">
        <v>121</v>
      </c>
      <c r="C51" s="73" t="e">
        <f>(D52+D55+D60)/(E81+E62)</f>
        <v>#DIV/0!</v>
      </c>
      <c r="D51" s="116"/>
      <c r="E51" s="3"/>
      <c r="F51" s="84"/>
      <c r="G51" s="78"/>
      <c r="H51" s="79"/>
      <c r="I51" s="76"/>
      <c r="J51" s="76"/>
      <c r="K51" s="77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</row>
    <row r="52" spans="1:26" x14ac:dyDescent="0.2">
      <c r="A52" s="1"/>
      <c r="B52" s="81" t="s">
        <v>41</v>
      </c>
      <c r="C52" s="116"/>
      <c r="D52" s="94">
        <f>SUM(E53:E54)</f>
        <v>0</v>
      </c>
      <c r="E52" s="3"/>
      <c r="F52" s="87">
        <f>SUM(F53:F54)</f>
        <v>0</v>
      </c>
      <c r="G52" s="78"/>
      <c r="H52" s="79"/>
      <c r="I52" s="76"/>
      <c r="J52" s="76"/>
      <c r="K52" s="77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</row>
    <row r="53" spans="1:26" x14ac:dyDescent="0.2">
      <c r="A53" s="1"/>
      <c r="B53" s="46" t="s">
        <v>72</v>
      </c>
      <c r="C53" s="116"/>
      <c r="D53" s="116"/>
      <c r="E53" s="3">
        <f>SUMIF(Table449142342122[Category],"Subscription",Table449142342122[Amount])</f>
        <v>0</v>
      </c>
      <c r="F53" s="84"/>
      <c r="G53" s="78"/>
      <c r="H53" s="79"/>
      <c r="I53" s="76"/>
      <c r="J53" s="76"/>
      <c r="K53" s="77"/>
      <c r="L53" s="78"/>
      <c r="M53" s="86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</row>
    <row r="54" spans="1:26" x14ac:dyDescent="0.2">
      <c r="A54" s="1"/>
      <c r="B54" s="46" t="s">
        <v>84</v>
      </c>
      <c r="C54" s="116"/>
      <c r="D54" s="116"/>
      <c r="E54" s="3">
        <f>SUMIF(Table449142342122[Category],"Events",Table449142342122[Amount])</f>
        <v>0</v>
      </c>
      <c r="F54" s="84"/>
      <c r="G54" s="78"/>
      <c r="H54" s="79"/>
      <c r="I54" s="76"/>
      <c r="J54" s="76"/>
      <c r="K54" s="77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</row>
    <row r="55" spans="1:26" x14ac:dyDescent="0.2">
      <c r="A55" s="1"/>
      <c r="B55" s="81" t="s">
        <v>73</v>
      </c>
      <c r="C55" s="116"/>
      <c r="D55" s="94">
        <f>SUM(E56:E59)</f>
        <v>0</v>
      </c>
      <c r="E55" s="3"/>
      <c r="F55" s="87">
        <f>SUM(F56:F59)</f>
        <v>0</v>
      </c>
      <c r="G55" s="78"/>
      <c r="H55" s="79"/>
      <c r="I55" s="76"/>
      <c r="J55" s="76"/>
      <c r="K55" s="77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</row>
    <row r="56" spans="1:26" x14ac:dyDescent="0.2">
      <c r="A56" s="1"/>
      <c r="B56" s="46" t="s">
        <v>74</v>
      </c>
      <c r="C56" s="116"/>
      <c r="D56" s="116"/>
      <c r="E56" s="3">
        <f>SUMIF(Table449142342122[Category],"Clothes",Table449142342122[Amount])</f>
        <v>0</v>
      </c>
      <c r="F56" s="84"/>
      <c r="G56" s="78"/>
      <c r="H56" s="79"/>
      <c r="I56" s="76"/>
      <c r="J56" s="76"/>
      <c r="K56" s="77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</row>
    <row r="57" spans="1:26" ht="17" thickBot="1" x14ac:dyDescent="0.25">
      <c r="A57" s="1"/>
      <c r="B57" s="46" t="s">
        <v>75</v>
      </c>
      <c r="C57" s="116"/>
      <c r="D57" s="116"/>
      <c r="E57" s="3">
        <f>SUMIF(Table449142342122[Category],"Accessories",Table449142342122[Amount])</f>
        <v>0</v>
      </c>
      <c r="F57" s="84"/>
      <c r="G57" s="78"/>
      <c r="H57" s="12" t="s">
        <v>184</v>
      </c>
      <c r="I57" s="9"/>
      <c r="J57" s="9"/>
      <c r="K57" s="10">
        <f>SUM(K22:K56)</f>
        <v>0</v>
      </c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</row>
    <row r="58" spans="1:26" x14ac:dyDescent="0.2">
      <c r="A58" s="1"/>
      <c r="B58" s="46" t="s">
        <v>76</v>
      </c>
      <c r="C58" s="116"/>
      <c r="D58" s="116"/>
      <c r="E58" s="3">
        <f>SUMIF(Table449142342122[Category],"Gifts",Table449142342122[Amount])</f>
        <v>0</v>
      </c>
      <c r="F58" s="84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</row>
    <row r="59" spans="1:26" ht="16" thickBot="1" x14ac:dyDescent="0.25">
      <c r="A59" s="78"/>
      <c r="B59" s="46" t="s">
        <v>81</v>
      </c>
      <c r="C59" s="116"/>
      <c r="D59" s="116"/>
      <c r="E59" s="3">
        <f>SUMIF(Table449142342122[Category],"Cosmetics",Table449142342122[Amount])</f>
        <v>0</v>
      </c>
      <c r="F59" s="84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</row>
    <row r="60" spans="1:26" x14ac:dyDescent="0.2">
      <c r="A60" s="78"/>
      <c r="B60" s="81" t="s">
        <v>77</v>
      </c>
      <c r="C60" s="116"/>
      <c r="D60" s="94">
        <f>SUMIF(Table449142342122[Category],"Hobbies",Table449142342122[Amount])</f>
        <v>0</v>
      </c>
      <c r="E60" s="3"/>
      <c r="F60" s="87">
        <v>0</v>
      </c>
      <c r="G60" s="78"/>
      <c r="H60" s="145" t="s">
        <v>103</v>
      </c>
      <c r="I60" s="146"/>
      <c r="J60" s="146"/>
      <c r="K60" s="147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</row>
    <row r="61" spans="1:26" x14ac:dyDescent="0.2">
      <c r="A61" s="78"/>
      <c r="B61" s="81"/>
      <c r="C61" s="116"/>
      <c r="D61" s="74"/>
      <c r="E61" s="3"/>
      <c r="F61" s="84"/>
      <c r="G61" s="78"/>
      <c r="H61" s="190"/>
      <c r="I61" s="149"/>
      <c r="J61" s="149"/>
      <c r="K61" s="150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</row>
    <row r="62" spans="1:26" ht="16" thickBot="1" x14ac:dyDescent="0.25">
      <c r="A62" s="78"/>
      <c r="B62" s="83" t="s">
        <v>4</v>
      </c>
      <c r="C62" s="82"/>
      <c r="D62" s="82"/>
      <c r="E62" s="90">
        <f>SUM(D31,D34,D40,D46,D52,D55,D60)</f>
        <v>0</v>
      </c>
      <c r="F62" s="85">
        <f>SUM(F31,F34,F40,F46,F52,F55,F60)</f>
        <v>0</v>
      </c>
      <c r="G62" s="78"/>
      <c r="H62" s="190"/>
      <c r="I62" s="149"/>
      <c r="J62" s="149"/>
      <c r="K62" s="150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</row>
    <row r="63" spans="1:26" x14ac:dyDescent="0.2">
      <c r="A63" s="78"/>
      <c r="B63" s="100"/>
      <c r="C63" s="101"/>
      <c r="D63" s="101"/>
      <c r="E63" s="102"/>
      <c r="F63" s="84"/>
      <c r="G63" s="78"/>
      <c r="H63" s="144"/>
      <c r="I63" s="149"/>
      <c r="J63" s="149"/>
      <c r="K63" s="150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</row>
    <row r="64" spans="1:26" x14ac:dyDescent="0.2">
      <c r="A64" s="78"/>
      <c r="B64" s="103" t="s">
        <v>85</v>
      </c>
      <c r="C64" s="104" t="e">
        <f>(D65)/(E81+E62)</f>
        <v>#DIV/0!</v>
      </c>
      <c r="D64" s="101"/>
      <c r="E64" s="102"/>
      <c r="F64" s="84"/>
      <c r="G64" s="78"/>
      <c r="H64" s="144"/>
      <c r="I64" s="149"/>
      <c r="J64" s="149"/>
      <c r="K64" s="150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</row>
    <row r="65" spans="1:26" x14ac:dyDescent="0.2">
      <c r="A65" s="78"/>
      <c r="B65" s="105" t="s">
        <v>94</v>
      </c>
      <c r="C65" s="101"/>
      <c r="D65" s="106">
        <f>SUM(E66:E68)</f>
        <v>0</v>
      </c>
      <c r="E65" s="102"/>
      <c r="F65" s="87">
        <f>SUM(F66:F68)</f>
        <v>0</v>
      </c>
      <c r="G65" s="78"/>
      <c r="H65" s="144"/>
      <c r="I65" s="149"/>
      <c r="J65" s="149"/>
      <c r="K65" s="150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</row>
    <row r="66" spans="1:26" x14ac:dyDescent="0.2">
      <c r="A66" s="78"/>
      <c r="B66" s="107" t="s">
        <v>88</v>
      </c>
      <c r="C66" s="101"/>
      <c r="D66" s="101"/>
      <c r="E66" s="102">
        <f>SUMIF(Table449142342122[Category],"Emergency Fund",Table449142342122[Amount])</f>
        <v>0</v>
      </c>
      <c r="F66" s="84"/>
      <c r="G66" s="78"/>
      <c r="H66" s="144"/>
      <c r="I66" s="149"/>
      <c r="J66" s="149"/>
      <c r="K66" s="150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</row>
    <row r="67" spans="1:26" x14ac:dyDescent="0.2">
      <c r="A67" s="78"/>
      <c r="B67" s="107" t="s">
        <v>55</v>
      </c>
      <c r="C67" s="101"/>
      <c r="D67" s="101"/>
      <c r="E67" s="102">
        <f>SUMIF(Table449142342122[Category],"Retirement",Table449142342122[Amount])</f>
        <v>0</v>
      </c>
      <c r="F67" s="84"/>
      <c r="G67" s="78"/>
      <c r="H67" s="144"/>
      <c r="I67" s="149"/>
      <c r="J67" s="149"/>
      <c r="K67" s="150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</row>
    <row r="68" spans="1:26" ht="14.25" customHeight="1" x14ac:dyDescent="0.2">
      <c r="A68" s="78"/>
      <c r="B68" s="107" t="s">
        <v>53</v>
      </c>
      <c r="C68" s="101"/>
      <c r="D68" s="101"/>
      <c r="E68" s="102">
        <f>SUMIF(Table449142342122[Category],"Investment",Table449142342122[Amount])</f>
        <v>0</v>
      </c>
      <c r="F68" s="84"/>
      <c r="G68" s="78"/>
      <c r="H68" s="144"/>
      <c r="I68" s="149"/>
      <c r="J68" s="149"/>
      <c r="K68" s="150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</row>
    <row r="69" spans="1:26" x14ac:dyDescent="0.2">
      <c r="A69" s="78"/>
      <c r="B69" s="100"/>
      <c r="C69" s="101"/>
      <c r="D69" s="101"/>
      <c r="E69" s="102"/>
      <c r="F69" s="84"/>
      <c r="G69" s="78"/>
      <c r="H69" s="144"/>
      <c r="I69" s="149"/>
      <c r="J69" s="149"/>
      <c r="K69" s="150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</row>
    <row r="70" spans="1:26" x14ac:dyDescent="0.2">
      <c r="A70" s="78"/>
      <c r="B70" s="103" t="s">
        <v>86</v>
      </c>
      <c r="C70" s="104" t="e">
        <f>D71/(E81+E62)</f>
        <v>#DIV/0!</v>
      </c>
      <c r="D70" s="101"/>
      <c r="E70" s="102"/>
      <c r="F70" s="84"/>
      <c r="G70" s="78"/>
      <c r="H70" s="144"/>
      <c r="I70" s="149"/>
      <c r="J70" s="149"/>
      <c r="K70" s="150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</row>
    <row r="71" spans="1:26" x14ac:dyDescent="0.2">
      <c r="A71" s="52"/>
      <c r="B71" s="105" t="s">
        <v>95</v>
      </c>
      <c r="C71" s="108"/>
      <c r="D71" s="106">
        <f>SUM(E72:E73)</f>
        <v>0</v>
      </c>
      <c r="E71" s="109"/>
      <c r="F71" s="87">
        <f>SUM(F72:F73)</f>
        <v>0</v>
      </c>
      <c r="G71" s="78"/>
      <c r="H71" s="144"/>
      <c r="I71" s="149"/>
      <c r="J71" s="149"/>
      <c r="K71" s="150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</row>
    <row r="72" spans="1:26" x14ac:dyDescent="0.2">
      <c r="A72" s="78"/>
      <c r="B72" s="110" t="s">
        <v>43</v>
      </c>
      <c r="C72" s="101"/>
      <c r="D72" s="101"/>
      <c r="E72" s="102">
        <f>SUMIF(Table449142342122[Category],"Donations",Table449142342122[Amount])</f>
        <v>0</v>
      </c>
      <c r="F72" s="84"/>
      <c r="G72" s="78"/>
      <c r="H72" s="144"/>
      <c r="I72" s="149"/>
      <c r="J72" s="149"/>
      <c r="K72" s="150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</row>
    <row r="73" spans="1:26" x14ac:dyDescent="0.2">
      <c r="A73" s="78"/>
      <c r="B73" s="110" t="s">
        <v>90</v>
      </c>
      <c r="C73" s="101"/>
      <c r="D73" s="101"/>
      <c r="E73" s="102">
        <f>SUMIF(Table449142342122[Category],"Offering",Table449142342122[Amount])</f>
        <v>0</v>
      </c>
      <c r="F73" s="84"/>
      <c r="G73" s="78"/>
      <c r="H73" s="144"/>
      <c r="I73" s="149"/>
      <c r="J73" s="149"/>
      <c r="K73" s="150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</row>
    <row r="74" spans="1:26" x14ac:dyDescent="0.2">
      <c r="A74" s="78"/>
      <c r="B74" s="110"/>
      <c r="C74" s="101"/>
      <c r="D74" s="101"/>
      <c r="E74" s="102"/>
      <c r="F74" s="84"/>
      <c r="G74" s="78"/>
      <c r="H74" s="144"/>
      <c r="I74" s="149"/>
      <c r="J74" s="149"/>
      <c r="K74" s="150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</row>
    <row r="75" spans="1:26" x14ac:dyDescent="0.2">
      <c r="A75" s="78"/>
      <c r="B75" s="111" t="s">
        <v>89</v>
      </c>
      <c r="C75" s="104" t="e">
        <f>D76/(E81+E62)</f>
        <v>#DIV/0!</v>
      </c>
      <c r="D75" s="101"/>
      <c r="E75" s="102"/>
      <c r="F75" s="84"/>
      <c r="G75" s="78"/>
      <c r="H75" s="144"/>
      <c r="I75" s="149"/>
      <c r="J75" s="149"/>
      <c r="K75" s="150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</row>
    <row r="76" spans="1:26" x14ac:dyDescent="0.2">
      <c r="A76" s="78"/>
      <c r="B76" s="112" t="s">
        <v>104</v>
      </c>
      <c r="C76" s="101"/>
      <c r="D76" s="106">
        <f>SUM(E77:E79)</f>
        <v>0</v>
      </c>
      <c r="E76" s="102"/>
      <c r="F76" s="87">
        <f>SUM(F77:F79)</f>
        <v>0</v>
      </c>
      <c r="G76" s="78"/>
      <c r="H76" s="144"/>
      <c r="I76" s="149"/>
      <c r="J76" s="149"/>
      <c r="K76" s="150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</row>
    <row r="77" spans="1:26" x14ac:dyDescent="0.2">
      <c r="A77" s="78"/>
      <c r="B77" s="110" t="s">
        <v>92</v>
      </c>
      <c r="C77" s="101"/>
      <c r="D77" s="101"/>
      <c r="E77" s="102">
        <f>SUMIF(Table449142342122[Category],"Student Loan",Table449142342122[Amount])</f>
        <v>0</v>
      </c>
      <c r="F77" s="84"/>
      <c r="G77" s="78"/>
      <c r="H77" s="144"/>
      <c r="I77" s="149"/>
      <c r="J77" s="149"/>
      <c r="K77" s="150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</row>
    <row r="78" spans="1:26" x14ac:dyDescent="0.2">
      <c r="A78" s="78"/>
      <c r="B78" s="107" t="s">
        <v>91</v>
      </c>
      <c r="C78" s="101"/>
      <c r="D78" s="101"/>
      <c r="E78" s="102">
        <f>SUMIF(Table449142342122[Category],"Credit Card",Table449142342122[Amount])</f>
        <v>0</v>
      </c>
      <c r="F78" s="84"/>
      <c r="G78" s="78"/>
      <c r="H78" s="144"/>
      <c r="I78" s="149"/>
      <c r="J78" s="149"/>
      <c r="K78" s="150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</row>
    <row r="79" spans="1:26" x14ac:dyDescent="0.2">
      <c r="A79" s="78"/>
      <c r="B79" s="110" t="s">
        <v>93</v>
      </c>
      <c r="C79" s="101"/>
      <c r="D79" s="101"/>
      <c r="E79" s="102">
        <f>SUMIF(Table449142342122[Category],"Car",Table449142342122[Amount])</f>
        <v>0</v>
      </c>
      <c r="F79" s="84"/>
      <c r="G79" s="1"/>
      <c r="H79" s="144"/>
      <c r="I79" s="149"/>
      <c r="J79" s="149"/>
      <c r="K79" s="150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</row>
    <row r="80" spans="1:26" s="54" customFormat="1" x14ac:dyDescent="0.2">
      <c r="A80" s="78"/>
      <c r="B80" s="111"/>
      <c r="C80" s="101"/>
      <c r="D80" s="101"/>
      <c r="E80" s="102"/>
      <c r="F80" s="84"/>
      <c r="G80" s="53"/>
      <c r="H80" s="148"/>
      <c r="I80" s="151"/>
      <c r="J80" s="151"/>
      <c r="K80" s="1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spans="1:26" ht="16" thickBot="1" x14ac:dyDescent="0.25">
      <c r="A81" s="78"/>
      <c r="B81" s="113" t="s">
        <v>35</v>
      </c>
      <c r="C81" s="114"/>
      <c r="D81" s="114"/>
      <c r="E81" s="115">
        <f>SUM(D65,D76,D71)</f>
        <v>0</v>
      </c>
      <c r="F81" s="85">
        <f>SUM(F65,F71,F76)</f>
        <v>0</v>
      </c>
      <c r="G81" s="1"/>
      <c r="H81" s="153"/>
      <c r="I81" s="154"/>
      <c r="J81" s="154"/>
      <c r="K81" s="155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</row>
    <row r="82" spans="1:26" x14ac:dyDescent="0.2">
      <c r="A82" s="78"/>
      <c r="B82" s="78"/>
      <c r="C82" s="78"/>
      <c r="D82" s="78"/>
      <c r="E82" s="78"/>
      <c r="F82" s="78"/>
      <c r="G82" s="1"/>
      <c r="H82" s="1"/>
      <c r="I82" s="1"/>
      <c r="J82" s="1"/>
      <c r="K82" s="1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</row>
    <row r="83" spans="1:26" ht="16" thickBot="1" x14ac:dyDescent="0.25">
      <c r="A83" s="78"/>
      <c r="B83" s="78"/>
      <c r="C83" s="78"/>
      <c r="D83" s="78"/>
      <c r="E83" s="78"/>
      <c r="F83" s="78"/>
      <c r="G83" s="1"/>
      <c r="H83" s="1"/>
      <c r="I83" s="1"/>
      <c r="J83" s="1"/>
      <c r="K83" s="1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</row>
    <row r="84" spans="1:26" x14ac:dyDescent="0.2">
      <c r="A84" s="78"/>
      <c r="B84" s="195" t="str">
        <f>B30</f>
        <v>LIVING EXPENSES</v>
      </c>
      <c r="C84" s="196" t="e">
        <f>C30</f>
        <v>#DIV/0!</v>
      </c>
      <c r="D84" s="78"/>
      <c r="E84" s="78"/>
      <c r="F84" s="78"/>
      <c r="G84" s="78"/>
      <c r="H84" s="1"/>
      <c r="I84" s="1"/>
      <c r="J84" s="1"/>
      <c r="K84" s="1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</row>
    <row r="85" spans="1:26" x14ac:dyDescent="0.2">
      <c r="A85" s="78"/>
      <c r="B85" s="144" t="str">
        <f>B51</f>
        <v>INDULGENCE EXPENSES</v>
      </c>
      <c r="C85" s="197" t="e">
        <f>C51</f>
        <v>#DIV/0!</v>
      </c>
      <c r="D85" s="78"/>
      <c r="E85" s="78"/>
      <c r="F85" s="78"/>
      <c r="G85" s="78"/>
      <c r="H85" s="1"/>
      <c r="I85" s="1"/>
      <c r="J85" s="1"/>
      <c r="K85" s="1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</row>
    <row r="86" spans="1:26" x14ac:dyDescent="0.2">
      <c r="A86" s="78"/>
      <c r="B86" s="144" t="str">
        <f>B64</f>
        <v>SAVINGS</v>
      </c>
      <c r="C86" s="197" t="e">
        <f>C64</f>
        <v>#DIV/0!</v>
      </c>
      <c r="D86" s="78"/>
      <c r="E86" s="78"/>
      <c r="F86" s="78"/>
      <c r="G86" s="78"/>
      <c r="H86" s="1"/>
      <c r="I86" s="1"/>
      <c r="J86" s="1"/>
      <c r="K86" s="1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</row>
    <row r="87" spans="1:26" x14ac:dyDescent="0.2">
      <c r="A87" s="78"/>
      <c r="B87" s="144" t="str">
        <f>B70</f>
        <v>TITHINGS</v>
      </c>
      <c r="C87" s="197" t="e">
        <f>C70</f>
        <v>#DIV/0!</v>
      </c>
      <c r="D87" s="78"/>
      <c r="E87" s="78"/>
      <c r="F87" s="78"/>
      <c r="G87" s="78"/>
      <c r="H87" s="1"/>
      <c r="I87" s="1"/>
      <c r="J87" s="1"/>
      <c r="K87" s="1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</row>
    <row r="88" spans="1:26" ht="16" thickBot="1" x14ac:dyDescent="0.25">
      <c r="A88" s="78"/>
      <c r="B88" s="153" t="str">
        <f>B75</f>
        <v>DEBT REPAYMENT</v>
      </c>
      <c r="C88" s="198" t="e">
        <f>C75</f>
        <v>#DIV/0!</v>
      </c>
      <c r="D88" s="78"/>
      <c r="E88" s="78"/>
      <c r="F88" s="78"/>
      <c r="G88" s="78"/>
      <c r="H88" s="1"/>
      <c r="I88" s="1"/>
      <c r="J88" s="1"/>
      <c r="K88" s="1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</row>
    <row r="89" spans="1:26" x14ac:dyDescent="0.2">
      <c r="A89" s="78"/>
      <c r="B89" s="78"/>
      <c r="C89" s="78"/>
      <c r="D89" s="78"/>
      <c r="E89" s="78"/>
      <c r="F89" s="78"/>
      <c r="G89" s="78"/>
      <c r="H89" s="1"/>
      <c r="I89" s="1"/>
      <c r="J89" s="1"/>
      <c r="K89" s="1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</row>
    <row r="90" spans="1:26" x14ac:dyDescent="0.2">
      <c r="A90" s="78"/>
      <c r="B90" s="78"/>
      <c r="C90" s="78"/>
      <c r="D90" s="78"/>
      <c r="E90" s="78"/>
      <c r="F90" s="78"/>
      <c r="G90" s="78"/>
      <c r="H90" s="1"/>
      <c r="I90" s="1"/>
      <c r="J90" s="1"/>
      <c r="K90" s="1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</row>
    <row r="91" spans="1:26" x14ac:dyDescent="0.2">
      <c r="A91" s="78"/>
      <c r="B91" s="78"/>
      <c r="C91" s="78"/>
      <c r="D91" s="78"/>
      <c r="E91" s="78"/>
      <c r="F91" s="78"/>
      <c r="G91" s="78"/>
      <c r="H91" s="1"/>
      <c r="I91" s="1"/>
      <c r="J91" s="1"/>
      <c r="K91" s="1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</row>
    <row r="92" spans="1:26" x14ac:dyDescent="0.2">
      <c r="A92" s="78"/>
      <c r="B92" s="78"/>
      <c r="C92" s="78"/>
      <c r="D92" s="78"/>
      <c r="E92" s="78"/>
      <c r="F92" s="78"/>
      <c r="G92" s="78"/>
      <c r="H92" s="1"/>
      <c r="I92" s="1"/>
      <c r="J92" s="1"/>
      <c r="K92" s="1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</row>
    <row r="93" spans="1:26" x14ac:dyDescent="0.2">
      <c r="A93" s="78"/>
      <c r="B93" s="78"/>
      <c r="C93" s="78"/>
      <c r="D93" s="78"/>
      <c r="E93" s="78"/>
      <c r="F93" s="78"/>
      <c r="G93" s="78"/>
      <c r="H93" s="1"/>
      <c r="I93" s="1"/>
      <c r="J93" s="1"/>
      <c r="K93" s="1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</row>
    <row r="94" spans="1:26" x14ac:dyDescent="0.2">
      <c r="A94" s="78"/>
      <c r="B94" s="78"/>
      <c r="C94" s="78"/>
      <c r="D94" s="78"/>
      <c r="E94" s="78"/>
      <c r="F94" s="78"/>
      <c r="G94" s="78"/>
      <c r="H94" s="1"/>
      <c r="I94" s="1"/>
      <c r="J94" s="1"/>
      <c r="K94" s="1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</row>
    <row r="95" spans="1:26" x14ac:dyDescent="0.2">
      <c r="A95" s="78"/>
      <c r="B95" s="78"/>
      <c r="C95" s="78"/>
      <c r="D95" s="78"/>
      <c r="E95" s="78"/>
      <c r="F95" s="78"/>
      <c r="G95" s="78"/>
      <c r="H95" s="1"/>
      <c r="I95" s="1"/>
      <c r="J95" s="1"/>
      <c r="K95" s="1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</row>
    <row r="96" spans="1:26" x14ac:dyDescent="0.2">
      <c r="A96" s="78"/>
      <c r="B96" s="78"/>
      <c r="C96" s="78"/>
      <c r="D96" s="78"/>
      <c r="E96" s="78"/>
      <c r="F96" s="78"/>
      <c r="G96" s="1"/>
      <c r="H96" s="1"/>
      <c r="I96" s="1"/>
      <c r="J96" s="1"/>
      <c r="K96" s="1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</row>
    <row r="97" spans="1:26" x14ac:dyDescent="0.2">
      <c r="A97" s="78"/>
      <c r="B97" s="78"/>
      <c r="C97" s="78"/>
      <c r="D97" s="78"/>
      <c r="E97" s="78"/>
      <c r="F97" s="78"/>
      <c r="G97" s="1"/>
      <c r="H97" s="1"/>
      <c r="I97" s="1"/>
      <c r="J97" s="1"/>
      <c r="K97" s="1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</row>
    <row r="98" spans="1:26" x14ac:dyDescent="0.2">
      <c r="A98" s="78"/>
      <c r="B98" s="78"/>
      <c r="C98" s="78"/>
      <c r="D98" s="78"/>
      <c r="E98" s="78"/>
      <c r="F98" s="78"/>
      <c r="G98" s="1"/>
      <c r="H98" s="1"/>
      <c r="I98" s="1"/>
      <c r="J98" s="1"/>
      <c r="K98" s="1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</row>
    <row r="99" spans="1:26" x14ac:dyDescent="0.2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</row>
    <row r="100" spans="1:26" x14ac:dyDescent="0.2">
      <c r="A100" s="78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</row>
    <row r="101" spans="1:26" x14ac:dyDescent="0.2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</row>
    <row r="102" spans="1:26" x14ac:dyDescent="0.2">
      <c r="A102" s="78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</row>
    <row r="103" spans="1:26" x14ac:dyDescent="0.2">
      <c r="A103" s="78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</row>
    <row r="104" spans="1:26" x14ac:dyDescent="0.2">
      <c r="A104" s="78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</row>
    <row r="105" spans="1:26" x14ac:dyDescent="0.2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</row>
    <row r="106" spans="1:26" x14ac:dyDescent="0.2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</row>
    <row r="107" spans="1:26" x14ac:dyDescent="0.2">
      <c r="A107" s="78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</row>
    <row r="108" spans="1:26" x14ac:dyDescent="0.2">
      <c r="A108" s="78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</row>
  </sheetData>
  <mergeCells count="11">
    <mergeCell ref="D9:E9"/>
    <mergeCell ref="B2:I2"/>
    <mergeCell ref="B6:C6"/>
    <mergeCell ref="D6:F6"/>
    <mergeCell ref="D7:E7"/>
    <mergeCell ref="D8:E8"/>
    <mergeCell ref="D10:E10"/>
    <mergeCell ref="D12:E12"/>
    <mergeCell ref="D13:E13"/>
    <mergeCell ref="B15:F15"/>
    <mergeCell ref="H20:K20"/>
  </mergeCells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BBB6F-A26B-4AF9-AA5A-7FB0FE0037C4}">
  <dimension ref="A1:Z108"/>
  <sheetViews>
    <sheetView workbookViewId="0"/>
  </sheetViews>
  <sheetFormatPr baseColWidth="10" defaultColWidth="9.1640625" defaultRowHeight="15" x14ac:dyDescent="0.2"/>
  <cols>
    <col min="1" max="1" width="10.6640625" style="75" customWidth="1"/>
    <col min="2" max="2" width="21.1640625" style="75" customWidth="1"/>
    <col min="3" max="6" width="10.6640625" style="75" customWidth="1"/>
    <col min="7" max="7" width="11" style="75" customWidth="1"/>
    <col min="8" max="8" width="12.6640625" style="75" customWidth="1"/>
    <col min="9" max="9" width="31.5" style="75" customWidth="1"/>
    <col min="10" max="10" width="15.6640625" style="75" customWidth="1"/>
    <col min="11" max="11" width="11.6640625" style="75" customWidth="1"/>
    <col min="12" max="13" width="9.1640625" style="75"/>
    <col min="14" max="19" width="10.6640625" style="75" customWidth="1"/>
    <col min="20" max="16384" width="9.1640625" style="75"/>
  </cols>
  <sheetData>
    <row r="1" spans="1:26" ht="16" thickBo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ht="20" thickBot="1" x14ac:dyDescent="0.3">
      <c r="A2" s="78"/>
      <c r="B2" s="214" t="s">
        <v>185</v>
      </c>
      <c r="C2" s="215"/>
      <c r="D2" s="215"/>
      <c r="E2" s="215"/>
      <c r="F2" s="215"/>
      <c r="G2" s="215"/>
      <c r="H2" s="215"/>
      <c r="I2" s="216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26" x14ac:dyDescent="0.2">
      <c r="A3" s="78"/>
      <c r="B3" s="140" t="s">
        <v>59</v>
      </c>
      <c r="C3" s="141" t="s">
        <v>20</v>
      </c>
      <c r="D3" s="141" t="s">
        <v>52</v>
      </c>
      <c r="E3" s="141" t="s">
        <v>12</v>
      </c>
      <c r="F3" s="142" t="s">
        <v>54</v>
      </c>
      <c r="G3" s="142" t="s">
        <v>14</v>
      </c>
      <c r="H3" s="142" t="s">
        <v>60</v>
      </c>
      <c r="I3" s="143" t="s">
        <v>55</v>
      </c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26" ht="16" thickBot="1" x14ac:dyDescent="0.25">
      <c r="A4" s="78"/>
      <c r="B4" s="95">
        <v>0</v>
      </c>
      <c r="C4" s="96">
        <v>0</v>
      </c>
      <c r="D4" s="96">
        <v>0</v>
      </c>
      <c r="E4" s="96">
        <v>0</v>
      </c>
      <c r="F4" s="97">
        <v>0</v>
      </c>
      <c r="G4" s="98">
        <v>0</v>
      </c>
      <c r="H4" s="98">
        <v>0</v>
      </c>
      <c r="I4" s="99">
        <v>0</v>
      </c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26" ht="16" thickBot="1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spans="1:26" ht="19" x14ac:dyDescent="0.25">
      <c r="A6" s="78"/>
      <c r="B6" s="217" t="s">
        <v>186</v>
      </c>
      <c r="C6" s="218"/>
      <c r="D6" s="219" t="s">
        <v>187</v>
      </c>
      <c r="E6" s="220"/>
      <c r="F6" s="221"/>
      <c r="G6" s="78"/>
      <c r="H6" s="1"/>
      <c r="I6" s="1"/>
      <c r="J6" s="1"/>
      <c r="K6" s="1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pans="1:26" x14ac:dyDescent="0.2">
      <c r="A7" s="78"/>
      <c r="B7" s="117" t="s">
        <v>2</v>
      </c>
      <c r="C7" s="118">
        <v>0</v>
      </c>
      <c r="D7" s="222" t="str">
        <f t="shared" ref="D7:D13" si="0">B7</f>
        <v>Income</v>
      </c>
      <c r="E7" s="223"/>
      <c r="F7" s="119">
        <f>F27</f>
        <v>0</v>
      </c>
      <c r="G7" s="78"/>
      <c r="H7" s="1"/>
      <c r="I7" s="1"/>
      <c r="J7" s="1"/>
      <c r="K7" s="1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</row>
    <row r="8" spans="1:26" x14ac:dyDescent="0.2">
      <c r="A8" s="78"/>
      <c r="B8" s="120" t="s">
        <v>12</v>
      </c>
      <c r="C8" s="121">
        <f>SUM(F66:F68)</f>
        <v>0</v>
      </c>
      <c r="D8" s="228" t="str">
        <f t="shared" si="0"/>
        <v>Savings</v>
      </c>
      <c r="E8" s="229"/>
      <c r="F8" s="122">
        <f>D65</f>
        <v>0</v>
      </c>
      <c r="G8" s="78"/>
      <c r="H8" s="1"/>
      <c r="I8" s="1"/>
      <c r="J8" s="1"/>
      <c r="K8" s="1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</row>
    <row r="9" spans="1:26" x14ac:dyDescent="0.2">
      <c r="A9" s="78"/>
      <c r="B9" s="123" t="s">
        <v>120</v>
      </c>
      <c r="C9" s="124">
        <f>SUM(F72:F73)</f>
        <v>0</v>
      </c>
      <c r="D9" s="232" t="str">
        <f t="shared" si="0"/>
        <v>Tithing</v>
      </c>
      <c r="E9" s="232"/>
      <c r="F9" s="125">
        <f>D71</f>
        <v>0</v>
      </c>
      <c r="G9" s="78"/>
      <c r="H9" s="1"/>
      <c r="I9" s="1"/>
      <c r="J9" s="1"/>
      <c r="K9" s="1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</row>
    <row r="10" spans="1:26" x14ac:dyDescent="0.2">
      <c r="A10" s="78"/>
      <c r="B10" s="126" t="s">
        <v>14</v>
      </c>
      <c r="C10" s="127">
        <f>SUM(F77:F79)</f>
        <v>0</v>
      </c>
      <c r="D10" s="230" t="str">
        <f t="shared" si="0"/>
        <v>Debt</v>
      </c>
      <c r="E10" s="231"/>
      <c r="F10" s="128">
        <f>D76</f>
        <v>0</v>
      </c>
      <c r="G10" s="78"/>
      <c r="H10" s="1"/>
      <c r="I10" s="1"/>
      <c r="J10" s="1"/>
      <c r="K10" s="1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</row>
    <row r="11" spans="1:26" x14ac:dyDescent="0.2">
      <c r="A11" s="78"/>
      <c r="B11" s="129" t="s">
        <v>124</v>
      </c>
      <c r="C11" s="130">
        <f>C7-C8-C9-C10</f>
        <v>0</v>
      </c>
      <c r="D11" s="131" t="str">
        <f t="shared" si="0"/>
        <v>Budgeted</v>
      </c>
      <c r="E11" s="132"/>
      <c r="F11" s="133">
        <f>F7-F8-F9-F10</f>
        <v>0</v>
      </c>
      <c r="G11" s="78"/>
      <c r="H11" s="1"/>
      <c r="I11" s="1"/>
      <c r="J11" s="1"/>
      <c r="K11" s="1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</row>
    <row r="12" spans="1:26" x14ac:dyDescent="0.2">
      <c r="A12" s="78"/>
      <c r="B12" s="134" t="s">
        <v>0</v>
      </c>
      <c r="C12" s="135">
        <f>F62</f>
        <v>0</v>
      </c>
      <c r="D12" s="224" t="str">
        <f t="shared" si="0"/>
        <v>Expenses</v>
      </c>
      <c r="E12" s="225"/>
      <c r="F12" s="136">
        <f>E62</f>
        <v>0</v>
      </c>
      <c r="G12" s="78"/>
      <c r="H12" s="1"/>
      <c r="I12" s="1"/>
      <c r="J12" s="1"/>
      <c r="K12" s="1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</row>
    <row r="13" spans="1:26" ht="16" thickBot="1" x14ac:dyDescent="0.25">
      <c r="A13" s="78"/>
      <c r="B13" s="137" t="s">
        <v>123</v>
      </c>
      <c r="C13" s="138">
        <f>C11-C12</f>
        <v>0</v>
      </c>
      <c r="D13" s="226" t="str">
        <f t="shared" si="0"/>
        <v>Remaining</v>
      </c>
      <c r="E13" s="227"/>
      <c r="F13" s="139">
        <f>F11-F12</f>
        <v>0</v>
      </c>
      <c r="G13" s="78"/>
      <c r="H13" s="1"/>
      <c r="I13" s="1"/>
      <c r="J13" s="1"/>
      <c r="K13" s="1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</row>
    <row r="14" spans="1:26" ht="16" thickBot="1" x14ac:dyDescent="0.25">
      <c r="A14" s="78"/>
      <c r="B14" s="78"/>
      <c r="C14" s="78"/>
      <c r="D14" s="78"/>
      <c r="E14" s="78"/>
      <c r="F14" s="78"/>
      <c r="G14" s="78"/>
      <c r="H14" s="1"/>
      <c r="I14" s="1"/>
      <c r="J14" s="1"/>
      <c r="K14" s="1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</row>
    <row r="15" spans="1:26" ht="20" thickBot="1" x14ac:dyDescent="0.3">
      <c r="A15" s="78"/>
      <c r="B15" s="214" t="s">
        <v>188</v>
      </c>
      <c r="C15" s="215"/>
      <c r="D15" s="215"/>
      <c r="E15" s="215"/>
      <c r="F15" s="216"/>
      <c r="G15" s="78"/>
      <c r="H15" s="1"/>
      <c r="I15" s="1"/>
      <c r="J15" s="1"/>
      <c r="K15" s="1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</row>
    <row r="16" spans="1:26" ht="17" thickBot="1" x14ac:dyDescent="0.25">
      <c r="A16" s="78"/>
      <c r="B16" s="63" t="s">
        <v>2</v>
      </c>
      <c r="C16" s="64"/>
      <c r="D16" s="65"/>
      <c r="E16" s="65"/>
      <c r="F16" s="66"/>
      <c r="G16" s="78"/>
      <c r="H16" s="1"/>
      <c r="I16" s="1"/>
      <c r="J16" s="1"/>
      <c r="K16" s="1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</row>
    <row r="17" spans="1:26" x14ac:dyDescent="0.2">
      <c r="A17" s="78"/>
      <c r="B17" s="4"/>
      <c r="C17" s="2"/>
      <c r="D17" s="2"/>
      <c r="E17" s="2"/>
      <c r="F17" s="62"/>
      <c r="G17" s="78"/>
      <c r="H17" s="1"/>
      <c r="I17" s="1"/>
      <c r="J17" s="1"/>
      <c r="K17" s="1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</row>
    <row r="18" spans="1:26" x14ac:dyDescent="0.2">
      <c r="A18" s="78"/>
      <c r="B18" s="4"/>
      <c r="C18" s="2"/>
      <c r="D18" s="2"/>
      <c r="E18" s="2"/>
      <c r="F18" s="55"/>
      <c r="G18" s="78"/>
      <c r="H18" s="1"/>
      <c r="I18" s="1"/>
      <c r="J18" s="1"/>
      <c r="K18" s="1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</row>
    <row r="19" spans="1:26" ht="16" thickBot="1" x14ac:dyDescent="0.25">
      <c r="A19" s="78"/>
      <c r="B19" s="4"/>
      <c r="C19" s="2"/>
      <c r="D19" s="2"/>
      <c r="E19" s="2"/>
      <c r="F19" s="55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</row>
    <row r="20" spans="1:26" ht="20" thickBot="1" x14ac:dyDescent="0.3">
      <c r="A20" s="78"/>
      <c r="B20" s="4"/>
      <c r="C20" s="2"/>
      <c r="D20" s="2"/>
      <c r="E20" s="2"/>
      <c r="F20" s="55"/>
      <c r="G20" s="78"/>
      <c r="H20" s="214" t="s">
        <v>189</v>
      </c>
      <c r="I20" s="215"/>
      <c r="J20" s="215"/>
      <c r="K20" s="216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</row>
    <row r="21" spans="1:26" x14ac:dyDescent="0.2">
      <c r="A21" s="78"/>
      <c r="B21" s="4"/>
      <c r="C21" s="2"/>
      <c r="D21" s="2"/>
      <c r="E21" s="2"/>
      <c r="F21" s="55"/>
      <c r="G21" s="78"/>
      <c r="H21" s="76" t="s">
        <v>5</v>
      </c>
      <c r="I21" s="76" t="s">
        <v>7</v>
      </c>
      <c r="J21" s="76" t="s">
        <v>8</v>
      </c>
      <c r="K21" s="77" t="s">
        <v>6</v>
      </c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</row>
    <row r="22" spans="1:26" x14ac:dyDescent="0.2">
      <c r="A22" s="78"/>
      <c r="B22" s="4"/>
      <c r="C22" s="2"/>
      <c r="D22" s="2"/>
      <c r="E22" s="2"/>
      <c r="F22" s="55"/>
      <c r="G22" s="78"/>
      <c r="H22" s="79"/>
      <c r="I22" s="76"/>
      <c r="J22" s="76"/>
      <c r="K22" s="77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</row>
    <row r="23" spans="1:26" x14ac:dyDescent="0.2">
      <c r="A23" s="78"/>
      <c r="B23" s="4"/>
      <c r="C23" s="2"/>
      <c r="D23" s="2"/>
      <c r="E23" s="2"/>
      <c r="F23" s="55"/>
      <c r="G23" s="78"/>
      <c r="H23" s="79"/>
      <c r="I23" s="76"/>
      <c r="J23" s="76"/>
      <c r="K23" s="77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</row>
    <row r="24" spans="1:26" x14ac:dyDescent="0.2">
      <c r="A24" s="78"/>
      <c r="B24" s="4"/>
      <c r="C24" s="2"/>
      <c r="D24" s="2"/>
      <c r="E24" s="2"/>
      <c r="F24" s="55"/>
      <c r="G24" s="78"/>
      <c r="H24" s="79"/>
      <c r="I24" s="76"/>
      <c r="J24" s="76"/>
      <c r="K24" s="77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</row>
    <row r="25" spans="1:26" x14ac:dyDescent="0.2">
      <c r="A25" s="78"/>
      <c r="B25" s="4"/>
      <c r="C25" s="2"/>
      <c r="D25" s="2"/>
      <c r="E25" s="2"/>
      <c r="F25" s="55"/>
      <c r="G25" s="78"/>
      <c r="H25" s="79"/>
      <c r="I25" s="76"/>
      <c r="J25" s="76"/>
      <c r="K25" s="77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</row>
    <row r="26" spans="1:26" x14ac:dyDescent="0.2">
      <c r="A26" s="78"/>
      <c r="B26" s="5"/>
      <c r="C26" s="2"/>
      <c r="D26" s="2"/>
      <c r="E26" s="2"/>
      <c r="F26" s="56"/>
      <c r="G26" s="78"/>
      <c r="H26" s="79"/>
      <c r="I26" s="76"/>
      <c r="J26" s="76"/>
      <c r="K26" s="77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</row>
    <row r="27" spans="1:26" s="41" customFormat="1" ht="16" thickBot="1" x14ac:dyDescent="0.25">
      <c r="A27" s="78"/>
      <c r="B27" s="6" t="s">
        <v>3</v>
      </c>
      <c r="C27" s="7"/>
      <c r="D27" s="58"/>
      <c r="E27" s="58"/>
      <c r="F27" s="57">
        <f>SUM(F17:F26)</f>
        <v>0</v>
      </c>
      <c r="G27" s="78"/>
      <c r="H27" s="79"/>
      <c r="I27" s="76"/>
      <c r="J27" s="76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</row>
    <row r="28" spans="1:26" ht="16" thickBot="1" x14ac:dyDescent="0.25">
      <c r="A28" s="78"/>
      <c r="B28" s="59"/>
      <c r="C28" s="60"/>
      <c r="D28" s="60"/>
      <c r="E28" s="60"/>
      <c r="F28" s="61"/>
      <c r="G28" s="78"/>
      <c r="H28" s="79"/>
      <c r="I28" s="76"/>
      <c r="J28" s="76"/>
      <c r="K28" s="77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</row>
    <row r="29" spans="1:26" ht="17" thickBot="1" x14ac:dyDescent="0.25">
      <c r="A29" s="78"/>
      <c r="B29" s="51" t="s">
        <v>0</v>
      </c>
      <c r="C29" s="49"/>
      <c r="D29" s="49"/>
      <c r="E29" s="49"/>
      <c r="F29" s="68" t="s">
        <v>1</v>
      </c>
      <c r="G29" s="78"/>
      <c r="H29" s="79"/>
      <c r="I29" s="76"/>
      <c r="J29" s="76"/>
      <c r="K29" s="77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</row>
    <row r="30" spans="1:26" x14ac:dyDescent="0.2">
      <c r="A30" s="78"/>
      <c r="B30" s="67" t="s">
        <v>87</v>
      </c>
      <c r="C30" s="72" t="e">
        <f>(D31+D34+D40+D46)/(E81+E62)</f>
        <v>#DIV/0!</v>
      </c>
      <c r="D30" s="71"/>
      <c r="E30" s="89"/>
      <c r="F30" s="91"/>
      <c r="G30" s="78"/>
      <c r="H30" s="79"/>
      <c r="I30" s="76"/>
      <c r="J30" s="76"/>
      <c r="K30" s="77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</row>
    <row r="31" spans="1:26" x14ac:dyDescent="0.2">
      <c r="A31" s="78"/>
      <c r="B31" s="81" t="s">
        <v>37</v>
      </c>
      <c r="C31" s="3"/>
      <c r="D31" s="92">
        <f>SUM(E32:E33)</f>
        <v>0</v>
      </c>
      <c r="E31" s="3"/>
      <c r="F31" s="87">
        <f>SUM(F32:F33)</f>
        <v>0</v>
      </c>
      <c r="G31" s="78"/>
      <c r="H31" s="79"/>
      <c r="I31" s="76"/>
      <c r="J31" s="76"/>
      <c r="K31" s="77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</row>
    <row r="32" spans="1:26" x14ac:dyDescent="0.2">
      <c r="A32" s="78"/>
      <c r="B32" s="46" t="s">
        <v>62</v>
      </c>
      <c r="C32" s="3"/>
      <c r="D32" s="3"/>
      <c r="E32" s="3">
        <f>SUMIF(Table4491423423[Category],"Rent",Table4491423423[Amount])</f>
        <v>0</v>
      </c>
      <c r="F32" s="84"/>
      <c r="G32" s="78"/>
      <c r="H32" s="79"/>
      <c r="I32" s="76"/>
      <c r="J32" s="76"/>
      <c r="K32" s="77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</row>
    <row r="33" spans="1:26" x14ac:dyDescent="0.2">
      <c r="A33" s="78"/>
      <c r="B33" s="46" t="s">
        <v>38</v>
      </c>
      <c r="C33" s="3"/>
      <c r="D33" s="3"/>
      <c r="E33" s="3">
        <f>SUMIF(Table4491423423[Category],"Utilities",Table4491423423[Amount])</f>
        <v>0</v>
      </c>
      <c r="F33" s="84"/>
      <c r="G33" s="78"/>
      <c r="H33" s="79"/>
      <c r="I33" s="76"/>
      <c r="J33" s="76"/>
      <c r="K33" s="77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</row>
    <row r="34" spans="1:26" x14ac:dyDescent="0.2">
      <c r="A34" s="78"/>
      <c r="B34" s="47" t="s">
        <v>39</v>
      </c>
      <c r="C34" s="3"/>
      <c r="D34" s="92">
        <f>SUM(E35:E39)</f>
        <v>0</v>
      </c>
      <c r="E34" s="3"/>
      <c r="F34" s="87">
        <f>SUM(F35:F39)</f>
        <v>0</v>
      </c>
      <c r="G34" s="78"/>
      <c r="H34" s="79"/>
      <c r="I34" s="76"/>
      <c r="J34" s="76"/>
      <c r="K34" s="77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</row>
    <row r="35" spans="1:26" ht="15.75" customHeight="1" x14ac:dyDescent="0.2">
      <c r="A35" s="78"/>
      <c r="B35" s="46" t="s">
        <v>82</v>
      </c>
      <c r="C35" s="3"/>
      <c r="D35" s="3"/>
      <c r="E35" s="3">
        <f>SUMIF(Table4491423423[Category],"Restaurants",Table4491423423[Amount])</f>
        <v>0</v>
      </c>
      <c r="F35" s="84"/>
      <c r="G35" s="78"/>
      <c r="H35" s="79"/>
      <c r="I35" s="76"/>
      <c r="J35" s="76"/>
      <c r="K35" s="77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</row>
    <row r="36" spans="1:26" ht="14.25" customHeight="1" x14ac:dyDescent="0.2">
      <c r="A36" s="78"/>
      <c r="B36" s="46" t="s">
        <v>63</v>
      </c>
      <c r="C36" s="3"/>
      <c r="D36" s="3"/>
      <c r="E36" s="3">
        <f>SUMIF(Table4491423423[Category],"Fast Food",Table4491423423[Amount])</f>
        <v>0</v>
      </c>
      <c r="F36" s="84"/>
      <c r="G36" s="78"/>
      <c r="H36" s="79"/>
      <c r="I36" s="76"/>
      <c r="J36" s="76"/>
      <c r="K36" s="77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</row>
    <row r="37" spans="1:26" x14ac:dyDescent="0.2">
      <c r="A37" s="78"/>
      <c r="B37" s="46" t="s">
        <v>64</v>
      </c>
      <c r="C37" s="3"/>
      <c r="D37" s="3"/>
      <c r="E37" s="3">
        <f>SUMIF(Table4491423423[Category],"Groceries",Table4491423423[Amount])</f>
        <v>0</v>
      </c>
      <c r="F37" s="84"/>
      <c r="G37" s="78"/>
      <c r="H37" s="79"/>
      <c r="I37" s="76"/>
      <c r="J37" s="76"/>
      <c r="K37" s="77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</row>
    <row r="38" spans="1:26" x14ac:dyDescent="0.2">
      <c r="A38" s="78"/>
      <c r="B38" s="46" t="s">
        <v>65</v>
      </c>
      <c r="C38" s="3"/>
      <c r="D38" s="3"/>
      <c r="E38" s="3">
        <f>SUMIF(Table4491423423[Category],"Coffee",Table4491423423[Amount])</f>
        <v>0</v>
      </c>
      <c r="F38" s="84"/>
      <c r="G38" s="78"/>
      <c r="H38" s="79"/>
      <c r="I38" s="76"/>
      <c r="J38" s="76"/>
      <c r="K38" s="77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</row>
    <row r="39" spans="1:26" x14ac:dyDescent="0.2">
      <c r="A39" s="78"/>
      <c r="B39" s="46" t="s">
        <v>66</v>
      </c>
      <c r="C39" s="3"/>
      <c r="D39" s="3"/>
      <c r="E39" s="3">
        <f>SUMIF(Table4491423423[Category],"Bars",Table4491423423[Amount])</f>
        <v>0</v>
      </c>
      <c r="F39" s="84"/>
      <c r="G39" s="78"/>
      <c r="H39" s="79"/>
      <c r="I39" s="76"/>
      <c r="J39" s="76"/>
      <c r="K39" s="77"/>
      <c r="L39" s="78"/>
      <c r="M39" s="78"/>
      <c r="N39" s="37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spans="1:26" x14ac:dyDescent="0.2">
      <c r="A40" s="78"/>
      <c r="B40" s="48" t="s">
        <v>67</v>
      </c>
      <c r="C40" s="44"/>
      <c r="D40" s="93">
        <f>SUM(E41:E45)</f>
        <v>0</v>
      </c>
      <c r="E40" s="3"/>
      <c r="F40" s="88">
        <f>SUM(F41:F45)</f>
        <v>0</v>
      </c>
      <c r="G40" s="78"/>
      <c r="H40" s="79"/>
      <c r="I40" s="76"/>
      <c r="J40" s="76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spans="1:26" x14ac:dyDescent="0.2">
      <c r="A41" s="1"/>
      <c r="B41" s="46" t="s">
        <v>42</v>
      </c>
      <c r="C41" s="3"/>
      <c r="D41" s="3"/>
      <c r="E41" s="3">
        <f>SUMIF(Table4491423423[Category],"Gas",Table4491423423[Amount])</f>
        <v>0</v>
      </c>
      <c r="F41" s="84"/>
      <c r="G41" s="78"/>
      <c r="H41" s="79"/>
      <c r="I41" s="76"/>
      <c r="K41" s="77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</row>
    <row r="42" spans="1:26" x14ac:dyDescent="0.2">
      <c r="A42" s="1"/>
      <c r="B42" s="46" t="s">
        <v>68</v>
      </c>
      <c r="C42" s="116"/>
      <c r="D42" s="116"/>
      <c r="E42" s="3">
        <f>SUMIF(Table4491423423[Category],"Insurance",Table4491423423[Amount])</f>
        <v>0</v>
      </c>
      <c r="F42" s="84"/>
      <c r="G42" s="78"/>
      <c r="H42" s="79"/>
      <c r="J42" s="76"/>
      <c r="K42" s="77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</row>
    <row r="43" spans="1:26" x14ac:dyDescent="0.2">
      <c r="A43" s="18"/>
      <c r="B43" s="46" t="s">
        <v>83</v>
      </c>
      <c r="C43" s="116"/>
      <c r="D43" s="116"/>
      <c r="E43" s="3">
        <f>SUMIF(Table4491423423[Category],"Maintenance",Table4491423423[Amount])</f>
        <v>0</v>
      </c>
      <c r="F43" s="84"/>
      <c r="G43" s="78"/>
      <c r="H43" s="79"/>
      <c r="I43" s="76"/>
      <c r="J43" s="76"/>
      <c r="K43" s="77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</row>
    <row r="44" spans="1:26" x14ac:dyDescent="0.2">
      <c r="A44" s="43"/>
      <c r="B44" s="46" t="s">
        <v>69</v>
      </c>
      <c r="C44" s="116"/>
      <c r="D44" s="116"/>
      <c r="E44" s="3">
        <f>SUMIF(Table4491423423[Category],"Parking",Table4491423423[Amount])</f>
        <v>0</v>
      </c>
      <c r="F44" s="84"/>
      <c r="G44" s="78"/>
      <c r="H44" s="79"/>
      <c r="I44" s="76"/>
      <c r="J44" s="76"/>
      <c r="K44" s="77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</row>
    <row r="45" spans="1:26" x14ac:dyDescent="0.2">
      <c r="A45" s="78"/>
      <c r="B45" s="46" t="s">
        <v>40</v>
      </c>
      <c r="C45" s="116"/>
      <c r="D45" s="116"/>
      <c r="E45" s="3">
        <f>SUMIF(Table4491423423[Category],"Uber",Table4491423423[Amount])</f>
        <v>0</v>
      </c>
      <c r="F45" s="84"/>
      <c r="G45" s="78"/>
      <c r="H45" s="79"/>
      <c r="I45" s="76"/>
      <c r="J45" s="76"/>
      <c r="K45" s="77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</row>
    <row r="46" spans="1:26" x14ac:dyDescent="0.2">
      <c r="A46" s="1"/>
      <c r="B46" s="81" t="s">
        <v>70</v>
      </c>
      <c r="C46" s="116"/>
      <c r="D46" s="94">
        <f>SUM(E47:E48)</f>
        <v>0</v>
      </c>
      <c r="E46" s="3"/>
      <c r="F46" s="87">
        <f>SUM(F47:F48)</f>
        <v>0</v>
      </c>
      <c r="G46" s="78"/>
      <c r="H46" s="79"/>
      <c r="I46" s="76"/>
      <c r="J46" s="76"/>
      <c r="K46" s="77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</row>
    <row r="47" spans="1:26" x14ac:dyDescent="0.2">
      <c r="A47" s="1"/>
      <c r="B47" s="46" t="s">
        <v>44</v>
      </c>
      <c r="C47" s="116"/>
      <c r="D47" s="116"/>
      <c r="E47" s="3">
        <f>SUMIF(Table4491423423[Category],"Tuition",Table4491423423[Amount])</f>
        <v>0</v>
      </c>
      <c r="F47" s="84"/>
      <c r="G47" s="78"/>
      <c r="H47" s="79"/>
      <c r="I47" s="76"/>
      <c r="J47" s="76"/>
      <c r="K47" s="77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</row>
    <row r="48" spans="1:26" x14ac:dyDescent="0.2">
      <c r="A48" s="1"/>
      <c r="B48" s="46" t="s">
        <v>71</v>
      </c>
      <c r="C48" s="116"/>
      <c r="D48" s="116"/>
      <c r="E48" s="3">
        <f>SUMIF(Table4491423423[Category],"Books",Table4491423423[Amount])</f>
        <v>0</v>
      </c>
      <c r="F48" s="84"/>
      <c r="G48" s="78"/>
      <c r="H48" s="79"/>
      <c r="I48" s="76"/>
      <c r="J48" s="76"/>
      <c r="K48" s="77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</row>
    <row r="49" spans="1:26" x14ac:dyDescent="0.2">
      <c r="A49" s="1"/>
      <c r="B49" s="46"/>
      <c r="C49" s="116"/>
      <c r="D49" s="116"/>
      <c r="E49" s="3"/>
      <c r="F49" s="84"/>
      <c r="G49" s="78"/>
      <c r="H49" s="79"/>
      <c r="I49" s="76"/>
      <c r="J49" s="76"/>
      <c r="K49" s="77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</row>
    <row r="50" spans="1:26" x14ac:dyDescent="0.2">
      <c r="A50" s="1"/>
      <c r="B50" s="46"/>
      <c r="C50" s="116"/>
      <c r="D50" s="116"/>
      <c r="E50" s="3"/>
      <c r="F50" s="84"/>
      <c r="G50" s="78"/>
      <c r="H50" s="79"/>
      <c r="I50" s="76"/>
      <c r="J50" s="76"/>
      <c r="K50" s="77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</row>
    <row r="51" spans="1:26" x14ac:dyDescent="0.2">
      <c r="A51" s="1"/>
      <c r="B51" s="50" t="s">
        <v>121</v>
      </c>
      <c r="C51" s="73" t="e">
        <f>(D52+D55+D60)/(E81+E62)</f>
        <v>#DIV/0!</v>
      </c>
      <c r="D51" s="116"/>
      <c r="E51" s="3"/>
      <c r="F51" s="84"/>
      <c r="G51" s="78"/>
      <c r="H51" s="79"/>
      <c r="I51" s="76"/>
      <c r="J51" s="76"/>
      <c r="K51" s="77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</row>
    <row r="52" spans="1:26" x14ac:dyDescent="0.2">
      <c r="A52" s="1"/>
      <c r="B52" s="81" t="s">
        <v>41</v>
      </c>
      <c r="C52" s="116"/>
      <c r="D52" s="94">
        <f>SUM(E53:E54)</f>
        <v>0</v>
      </c>
      <c r="E52" s="3"/>
      <c r="F52" s="87">
        <f>SUM(F53:F54)</f>
        <v>0</v>
      </c>
      <c r="G52" s="78"/>
      <c r="H52" s="79"/>
      <c r="I52" s="76"/>
      <c r="J52" s="76"/>
      <c r="K52" s="77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</row>
    <row r="53" spans="1:26" x14ac:dyDescent="0.2">
      <c r="A53" s="1"/>
      <c r="B53" s="46" t="s">
        <v>72</v>
      </c>
      <c r="C53" s="116"/>
      <c r="D53" s="116"/>
      <c r="E53" s="3">
        <f>SUMIF(Table4491423423[Category],"Subscription",Table4491423423[Amount])</f>
        <v>0</v>
      </c>
      <c r="F53" s="84"/>
      <c r="G53" s="78"/>
      <c r="H53" s="79"/>
      <c r="I53" s="76"/>
      <c r="J53" s="76"/>
      <c r="K53" s="77"/>
      <c r="L53" s="78"/>
      <c r="M53" s="86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</row>
    <row r="54" spans="1:26" x14ac:dyDescent="0.2">
      <c r="A54" s="1"/>
      <c r="B54" s="46" t="s">
        <v>84</v>
      </c>
      <c r="C54" s="116"/>
      <c r="D54" s="116"/>
      <c r="E54" s="3">
        <f>SUMIF(Table4491423423[Category],"Events",Table4491423423[Amount])</f>
        <v>0</v>
      </c>
      <c r="F54" s="84"/>
      <c r="G54" s="78"/>
      <c r="H54" s="79"/>
      <c r="I54" s="76"/>
      <c r="J54" s="76"/>
      <c r="K54" s="77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</row>
    <row r="55" spans="1:26" x14ac:dyDescent="0.2">
      <c r="A55" s="1"/>
      <c r="B55" s="81" t="s">
        <v>73</v>
      </c>
      <c r="C55" s="116"/>
      <c r="D55" s="94">
        <f>SUM(E56:E59)</f>
        <v>0</v>
      </c>
      <c r="E55" s="3"/>
      <c r="F55" s="87">
        <f>SUM(F56:F59)</f>
        <v>0</v>
      </c>
      <c r="G55" s="78"/>
      <c r="H55" s="79"/>
      <c r="I55" s="76"/>
      <c r="J55" s="76"/>
      <c r="K55" s="77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</row>
    <row r="56" spans="1:26" x14ac:dyDescent="0.2">
      <c r="A56" s="1"/>
      <c r="B56" s="46" t="s">
        <v>74</v>
      </c>
      <c r="C56" s="116"/>
      <c r="D56" s="116"/>
      <c r="E56" s="3">
        <f>SUMIF(Table4491423423[Category],"Clothes",Table4491423423[Amount])</f>
        <v>0</v>
      </c>
      <c r="F56" s="84"/>
      <c r="G56" s="78"/>
      <c r="H56" s="79"/>
      <c r="I56" s="76"/>
      <c r="J56" s="76"/>
      <c r="K56" s="77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</row>
    <row r="57" spans="1:26" ht="17" thickBot="1" x14ac:dyDescent="0.25">
      <c r="A57" s="1"/>
      <c r="B57" s="46" t="s">
        <v>75</v>
      </c>
      <c r="C57" s="116"/>
      <c r="D57" s="116"/>
      <c r="E57" s="3">
        <f>SUMIF(Table4491423423[Category],"Accessories",Table4491423423[Amount])</f>
        <v>0</v>
      </c>
      <c r="F57" s="84"/>
      <c r="G57" s="78"/>
      <c r="H57" s="12" t="s">
        <v>190</v>
      </c>
      <c r="I57" s="9"/>
      <c r="J57" s="9"/>
      <c r="K57" s="10">
        <f>SUM(K22:K56)</f>
        <v>0</v>
      </c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</row>
    <row r="58" spans="1:26" x14ac:dyDescent="0.2">
      <c r="A58" s="1"/>
      <c r="B58" s="46" t="s">
        <v>76</v>
      </c>
      <c r="C58" s="116"/>
      <c r="D58" s="116"/>
      <c r="E58" s="3">
        <f>SUMIF(Table4491423423[Category],"Gifts",Table4491423423[Amount])</f>
        <v>0</v>
      </c>
      <c r="F58" s="84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</row>
    <row r="59" spans="1:26" ht="16" thickBot="1" x14ac:dyDescent="0.25">
      <c r="A59" s="78"/>
      <c r="B59" s="46" t="s">
        <v>81</v>
      </c>
      <c r="C59" s="116"/>
      <c r="D59" s="116"/>
      <c r="E59" s="3">
        <f>SUMIF(Table4491423423[Category],"Cosmetics",Table4491423423[Amount])</f>
        <v>0</v>
      </c>
      <c r="F59" s="84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</row>
    <row r="60" spans="1:26" x14ac:dyDescent="0.2">
      <c r="A60" s="78"/>
      <c r="B60" s="81" t="s">
        <v>77</v>
      </c>
      <c r="C60" s="116"/>
      <c r="D60" s="94">
        <f>SUMIF(Table4491423423[Category],"Hobbies",Table4491423423[Amount])</f>
        <v>0</v>
      </c>
      <c r="E60" s="3"/>
      <c r="F60" s="87">
        <v>0</v>
      </c>
      <c r="G60" s="78"/>
      <c r="H60" s="145" t="s">
        <v>103</v>
      </c>
      <c r="I60" s="146"/>
      <c r="J60" s="146"/>
      <c r="K60" s="147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</row>
    <row r="61" spans="1:26" x14ac:dyDescent="0.2">
      <c r="A61" s="78"/>
      <c r="B61" s="81"/>
      <c r="C61" s="116"/>
      <c r="D61" s="74"/>
      <c r="E61" s="3"/>
      <c r="F61" s="84"/>
      <c r="G61" s="78"/>
      <c r="H61" s="190"/>
      <c r="I61" s="149"/>
      <c r="J61" s="149"/>
      <c r="K61" s="150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</row>
    <row r="62" spans="1:26" ht="16" thickBot="1" x14ac:dyDescent="0.25">
      <c r="A62" s="78"/>
      <c r="B62" s="83" t="s">
        <v>4</v>
      </c>
      <c r="C62" s="82"/>
      <c r="D62" s="82"/>
      <c r="E62" s="90">
        <f>SUM(D31,D34,D40,D46,D52,D55,D60)</f>
        <v>0</v>
      </c>
      <c r="F62" s="85">
        <f>SUM(F31,F34,F40,F46,F52,F55,F60)</f>
        <v>0</v>
      </c>
      <c r="G62" s="78"/>
      <c r="H62" s="190"/>
      <c r="I62" s="149"/>
      <c r="J62" s="149"/>
      <c r="K62" s="150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</row>
    <row r="63" spans="1:26" x14ac:dyDescent="0.2">
      <c r="A63" s="78"/>
      <c r="B63" s="100"/>
      <c r="C63" s="101"/>
      <c r="D63" s="101"/>
      <c r="E63" s="102"/>
      <c r="F63" s="84"/>
      <c r="G63" s="78"/>
      <c r="H63" s="144"/>
      <c r="I63" s="149"/>
      <c r="J63" s="149"/>
      <c r="K63" s="150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</row>
    <row r="64" spans="1:26" x14ac:dyDescent="0.2">
      <c r="A64" s="78"/>
      <c r="B64" s="103" t="s">
        <v>85</v>
      </c>
      <c r="C64" s="104" t="e">
        <f>(D65)/(E81+E62)</f>
        <v>#DIV/0!</v>
      </c>
      <c r="D64" s="101"/>
      <c r="E64" s="102"/>
      <c r="F64" s="84"/>
      <c r="G64" s="78"/>
      <c r="H64" s="144"/>
      <c r="I64" s="149"/>
      <c r="J64" s="149"/>
      <c r="K64" s="150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</row>
    <row r="65" spans="1:26" x14ac:dyDescent="0.2">
      <c r="A65" s="78"/>
      <c r="B65" s="105" t="s">
        <v>94</v>
      </c>
      <c r="C65" s="101"/>
      <c r="D65" s="106">
        <f>SUM(E66:E68)</f>
        <v>0</v>
      </c>
      <c r="E65" s="102"/>
      <c r="F65" s="87">
        <f>SUM(F66:F68)</f>
        <v>0</v>
      </c>
      <c r="G65" s="78"/>
      <c r="H65" s="144"/>
      <c r="I65" s="149"/>
      <c r="J65" s="149"/>
      <c r="K65" s="150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</row>
    <row r="66" spans="1:26" x14ac:dyDescent="0.2">
      <c r="A66" s="78"/>
      <c r="B66" s="107" t="s">
        <v>88</v>
      </c>
      <c r="C66" s="101"/>
      <c r="D66" s="101"/>
      <c r="E66" s="102">
        <f>SUMIF(Table4491423423[Category],"Emergency Fund",Table4491423423[Amount])</f>
        <v>0</v>
      </c>
      <c r="F66" s="84"/>
      <c r="G66" s="78"/>
      <c r="H66" s="144"/>
      <c r="I66" s="149"/>
      <c r="J66" s="149"/>
      <c r="K66" s="150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</row>
    <row r="67" spans="1:26" x14ac:dyDescent="0.2">
      <c r="A67" s="78"/>
      <c r="B67" s="107" t="s">
        <v>55</v>
      </c>
      <c r="C67" s="101"/>
      <c r="D67" s="101"/>
      <c r="E67" s="102">
        <f>SUMIF(Table4491423423[Category],"Retirement",Table4491423423[Amount])</f>
        <v>0</v>
      </c>
      <c r="F67" s="84"/>
      <c r="G67" s="78"/>
      <c r="H67" s="144"/>
      <c r="I67" s="149"/>
      <c r="J67" s="149"/>
      <c r="K67" s="150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</row>
    <row r="68" spans="1:26" ht="14.25" customHeight="1" x14ac:dyDescent="0.2">
      <c r="A68" s="78"/>
      <c r="B68" s="107" t="s">
        <v>53</v>
      </c>
      <c r="C68" s="101"/>
      <c r="D68" s="101"/>
      <c r="E68" s="102">
        <f>SUMIF(Table4491423423[Category],"Investment",Table4491423423[Amount])</f>
        <v>0</v>
      </c>
      <c r="F68" s="84"/>
      <c r="G68" s="78"/>
      <c r="H68" s="144"/>
      <c r="I68" s="149"/>
      <c r="J68" s="149"/>
      <c r="K68" s="150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</row>
    <row r="69" spans="1:26" x14ac:dyDescent="0.2">
      <c r="A69" s="78"/>
      <c r="B69" s="100"/>
      <c r="C69" s="101"/>
      <c r="D69" s="101"/>
      <c r="E69" s="102"/>
      <c r="F69" s="84"/>
      <c r="G69" s="78"/>
      <c r="H69" s="144"/>
      <c r="I69" s="149"/>
      <c r="J69" s="149"/>
      <c r="K69" s="150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</row>
    <row r="70" spans="1:26" x14ac:dyDescent="0.2">
      <c r="A70" s="78"/>
      <c r="B70" s="103" t="s">
        <v>86</v>
      </c>
      <c r="C70" s="104" t="e">
        <f>D71/(E81+E62)</f>
        <v>#DIV/0!</v>
      </c>
      <c r="D70" s="101"/>
      <c r="E70" s="102"/>
      <c r="F70" s="84"/>
      <c r="G70" s="78"/>
      <c r="H70" s="144"/>
      <c r="I70" s="149"/>
      <c r="J70" s="149"/>
      <c r="K70" s="150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</row>
    <row r="71" spans="1:26" x14ac:dyDescent="0.2">
      <c r="A71" s="52"/>
      <c r="B71" s="105" t="s">
        <v>95</v>
      </c>
      <c r="C71" s="108"/>
      <c r="D71" s="106">
        <f>SUM(E72:E73)</f>
        <v>0</v>
      </c>
      <c r="E71" s="109"/>
      <c r="F71" s="87">
        <f>SUM(F72:F73)</f>
        <v>0</v>
      </c>
      <c r="G71" s="78"/>
      <c r="H71" s="144"/>
      <c r="I71" s="149"/>
      <c r="J71" s="149"/>
      <c r="K71" s="150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</row>
    <row r="72" spans="1:26" x14ac:dyDescent="0.2">
      <c r="A72" s="78"/>
      <c r="B72" s="110" t="s">
        <v>43</v>
      </c>
      <c r="C72" s="101"/>
      <c r="D72" s="101"/>
      <c r="E72" s="102">
        <f>SUMIF(Table4491423423[Category],"Donations",Table4491423423[Amount])</f>
        <v>0</v>
      </c>
      <c r="F72" s="84"/>
      <c r="G72" s="78"/>
      <c r="H72" s="144"/>
      <c r="I72" s="149"/>
      <c r="J72" s="149"/>
      <c r="K72" s="150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</row>
    <row r="73" spans="1:26" x14ac:dyDescent="0.2">
      <c r="A73" s="78"/>
      <c r="B73" s="110" t="s">
        <v>90</v>
      </c>
      <c r="C73" s="101"/>
      <c r="D73" s="101"/>
      <c r="E73" s="102">
        <f>SUMIF(Table4491423423[Category],"Offering",Table4491423423[Amount])</f>
        <v>0</v>
      </c>
      <c r="F73" s="84"/>
      <c r="G73" s="78"/>
      <c r="H73" s="144"/>
      <c r="I73" s="149"/>
      <c r="J73" s="149"/>
      <c r="K73" s="150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</row>
    <row r="74" spans="1:26" x14ac:dyDescent="0.2">
      <c r="A74" s="78"/>
      <c r="B74" s="110"/>
      <c r="C74" s="101"/>
      <c r="D74" s="101"/>
      <c r="E74" s="102"/>
      <c r="F74" s="84"/>
      <c r="G74" s="78"/>
      <c r="H74" s="144"/>
      <c r="I74" s="149"/>
      <c r="J74" s="149"/>
      <c r="K74" s="150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</row>
    <row r="75" spans="1:26" x14ac:dyDescent="0.2">
      <c r="A75" s="78"/>
      <c r="B75" s="111" t="s">
        <v>89</v>
      </c>
      <c r="C75" s="104" t="e">
        <f>D76/(E81+E62)</f>
        <v>#DIV/0!</v>
      </c>
      <c r="D75" s="101"/>
      <c r="E75" s="102"/>
      <c r="F75" s="84"/>
      <c r="G75" s="78"/>
      <c r="H75" s="144"/>
      <c r="I75" s="149"/>
      <c r="J75" s="149"/>
      <c r="K75" s="150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</row>
    <row r="76" spans="1:26" x14ac:dyDescent="0.2">
      <c r="A76" s="78"/>
      <c r="B76" s="112" t="s">
        <v>104</v>
      </c>
      <c r="C76" s="101"/>
      <c r="D76" s="106">
        <f>SUM(E77:E79)</f>
        <v>0</v>
      </c>
      <c r="E76" s="102"/>
      <c r="F76" s="87">
        <f>SUM(F77:F79)</f>
        <v>0</v>
      </c>
      <c r="G76" s="78"/>
      <c r="H76" s="144"/>
      <c r="I76" s="149"/>
      <c r="J76" s="149"/>
      <c r="K76" s="150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</row>
    <row r="77" spans="1:26" x14ac:dyDescent="0.2">
      <c r="A77" s="78"/>
      <c r="B77" s="110" t="s">
        <v>92</v>
      </c>
      <c r="C77" s="101"/>
      <c r="D77" s="101"/>
      <c r="E77" s="102">
        <f>SUMIF(Table4491423423[Category],"Student Loan",Table4491423423[Amount])</f>
        <v>0</v>
      </c>
      <c r="F77" s="84"/>
      <c r="G77" s="78"/>
      <c r="H77" s="144"/>
      <c r="I77" s="149"/>
      <c r="J77" s="149"/>
      <c r="K77" s="150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</row>
    <row r="78" spans="1:26" x14ac:dyDescent="0.2">
      <c r="A78" s="78"/>
      <c r="B78" s="107" t="s">
        <v>91</v>
      </c>
      <c r="C78" s="101"/>
      <c r="D78" s="101"/>
      <c r="E78" s="102">
        <f>SUMIF(Table4491423423[Category],"Credit Card",Table4491423423[Amount])</f>
        <v>0</v>
      </c>
      <c r="F78" s="84"/>
      <c r="G78" s="78"/>
      <c r="H78" s="144"/>
      <c r="I78" s="149"/>
      <c r="J78" s="149"/>
      <c r="K78" s="150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</row>
    <row r="79" spans="1:26" x14ac:dyDescent="0.2">
      <c r="A79" s="78"/>
      <c r="B79" s="110" t="s">
        <v>93</v>
      </c>
      <c r="C79" s="101"/>
      <c r="D79" s="101"/>
      <c r="E79" s="102">
        <f>SUMIF(Table4491423423[Category],"Car",Table4491423423[Amount])</f>
        <v>0</v>
      </c>
      <c r="F79" s="84"/>
      <c r="G79" s="1"/>
      <c r="H79" s="144"/>
      <c r="I79" s="149"/>
      <c r="J79" s="149"/>
      <c r="K79" s="150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</row>
    <row r="80" spans="1:26" s="54" customFormat="1" x14ac:dyDescent="0.2">
      <c r="A80" s="78"/>
      <c r="B80" s="111"/>
      <c r="C80" s="101"/>
      <c r="D80" s="101"/>
      <c r="E80" s="102"/>
      <c r="F80" s="84"/>
      <c r="G80" s="53"/>
      <c r="H80" s="148"/>
      <c r="I80" s="151"/>
      <c r="J80" s="151"/>
      <c r="K80" s="1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spans="1:26" ht="16" thickBot="1" x14ac:dyDescent="0.25">
      <c r="A81" s="78"/>
      <c r="B81" s="113" t="s">
        <v>35</v>
      </c>
      <c r="C81" s="114"/>
      <c r="D81" s="114"/>
      <c r="E81" s="115">
        <f>SUM(D65,D76,D71)</f>
        <v>0</v>
      </c>
      <c r="F81" s="85">
        <f>SUM(F65,F71,F76)</f>
        <v>0</v>
      </c>
      <c r="G81" s="1"/>
      <c r="H81" s="153"/>
      <c r="I81" s="154"/>
      <c r="J81" s="154"/>
      <c r="K81" s="155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</row>
    <row r="82" spans="1:26" x14ac:dyDescent="0.2">
      <c r="A82" s="78"/>
      <c r="B82" s="78"/>
      <c r="C82" s="78"/>
      <c r="D82" s="78"/>
      <c r="E82" s="78"/>
      <c r="F82" s="78"/>
      <c r="G82" s="1"/>
      <c r="H82" s="1"/>
      <c r="I82" s="1"/>
      <c r="J82" s="1"/>
      <c r="K82" s="1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</row>
    <row r="83" spans="1:26" ht="16" thickBot="1" x14ac:dyDescent="0.25">
      <c r="A83" s="78"/>
      <c r="B83" s="78"/>
      <c r="C83" s="78"/>
      <c r="D83" s="78"/>
      <c r="E83" s="78"/>
      <c r="F83" s="78"/>
      <c r="G83" s="1"/>
      <c r="H83" s="1"/>
      <c r="I83" s="1"/>
      <c r="J83" s="1"/>
      <c r="K83" s="1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</row>
    <row r="84" spans="1:26" x14ac:dyDescent="0.2">
      <c r="A84" s="78"/>
      <c r="B84" s="195" t="str">
        <f>B30</f>
        <v>LIVING EXPENSES</v>
      </c>
      <c r="C84" s="196" t="e">
        <f>C30</f>
        <v>#DIV/0!</v>
      </c>
      <c r="D84" s="78"/>
      <c r="E84" s="78"/>
      <c r="F84" s="78"/>
      <c r="G84" s="78"/>
      <c r="H84" s="1"/>
      <c r="I84" s="1"/>
      <c r="J84" s="1"/>
      <c r="K84" s="1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</row>
    <row r="85" spans="1:26" x14ac:dyDescent="0.2">
      <c r="A85" s="78"/>
      <c r="B85" s="144" t="str">
        <f>B51</f>
        <v>INDULGENCE EXPENSES</v>
      </c>
      <c r="C85" s="197" t="e">
        <f>C51</f>
        <v>#DIV/0!</v>
      </c>
      <c r="D85" s="78"/>
      <c r="E85" s="78"/>
      <c r="F85" s="78"/>
      <c r="G85" s="78"/>
      <c r="H85" s="1"/>
      <c r="I85" s="1"/>
      <c r="J85" s="1"/>
      <c r="K85" s="1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</row>
    <row r="86" spans="1:26" x14ac:dyDescent="0.2">
      <c r="A86" s="78"/>
      <c r="B86" s="144" t="str">
        <f>B64</f>
        <v>SAVINGS</v>
      </c>
      <c r="C86" s="197" t="e">
        <f>C64</f>
        <v>#DIV/0!</v>
      </c>
      <c r="D86" s="78"/>
      <c r="E86" s="78"/>
      <c r="F86" s="78"/>
      <c r="G86" s="78"/>
      <c r="H86" s="1"/>
      <c r="I86" s="1"/>
      <c r="J86" s="1"/>
      <c r="K86" s="1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</row>
    <row r="87" spans="1:26" x14ac:dyDescent="0.2">
      <c r="A87" s="78"/>
      <c r="B87" s="144" t="str">
        <f>B70</f>
        <v>TITHINGS</v>
      </c>
      <c r="C87" s="197" t="e">
        <f>C70</f>
        <v>#DIV/0!</v>
      </c>
      <c r="D87" s="78"/>
      <c r="E87" s="78"/>
      <c r="F87" s="78"/>
      <c r="G87" s="78"/>
      <c r="H87" s="1"/>
      <c r="I87" s="1"/>
      <c r="J87" s="1"/>
      <c r="K87" s="1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</row>
    <row r="88" spans="1:26" ht="16" thickBot="1" x14ac:dyDescent="0.25">
      <c r="A88" s="78"/>
      <c r="B88" s="153" t="str">
        <f>B75</f>
        <v>DEBT REPAYMENT</v>
      </c>
      <c r="C88" s="198" t="e">
        <f>C75</f>
        <v>#DIV/0!</v>
      </c>
      <c r="D88" s="78"/>
      <c r="E88" s="78"/>
      <c r="F88" s="78"/>
      <c r="G88" s="78"/>
      <c r="H88" s="1"/>
      <c r="I88" s="1"/>
      <c r="J88" s="1"/>
      <c r="K88" s="1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</row>
    <row r="89" spans="1:26" x14ac:dyDescent="0.2">
      <c r="A89" s="78"/>
      <c r="B89" s="78"/>
      <c r="C89" s="78"/>
      <c r="D89" s="78"/>
      <c r="E89" s="78"/>
      <c r="F89" s="78"/>
      <c r="G89" s="78"/>
      <c r="H89" s="1"/>
      <c r="I89" s="1"/>
      <c r="J89" s="1"/>
      <c r="K89" s="1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</row>
    <row r="90" spans="1:26" x14ac:dyDescent="0.2">
      <c r="A90" s="78"/>
      <c r="B90" s="78"/>
      <c r="C90" s="78"/>
      <c r="D90" s="78"/>
      <c r="E90" s="78"/>
      <c r="F90" s="78"/>
      <c r="G90" s="78"/>
      <c r="H90" s="1"/>
      <c r="I90" s="1"/>
      <c r="J90" s="1"/>
      <c r="K90" s="1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</row>
    <row r="91" spans="1:26" x14ac:dyDescent="0.2">
      <c r="A91" s="78"/>
      <c r="B91" s="78"/>
      <c r="C91" s="78"/>
      <c r="D91" s="78"/>
      <c r="E91" s="78"/>
      <c r="F91" s="78"/>
      <c r="G91" s="78"/>
      <c r="H91" s="1"/>
      <c r="I91" s="1"/>
      <c r="J91" s="1"/>
      <c r="K91" s="1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</row>
    <row r="92" spans="1:26" x14ac:dyDescent="0.2">
      <c r="A92" s="78"/>
      <c r="B92" s="78"/>
      <c r="C92" s="78"/>
      <c r="D92" s="78"/>
      <c r="E92" s="78"/>
      <c r="F92" s="78"/>
      <c r="G92" s="78"/>
      <c r="H92" s="1"/>
      <c r="I92" s="1"/>
      <c r="J92" s="1"/>
      <c r="K92" s="1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</row>
    <row r="93" spans="1:26" x14ac:dyDescent="0.2">
      <c r="A93" s="78"/>
      <c r="B93" s="78"/>
      <c r="C93" s="78"/>
      <c r="D93" s="78"/>
      <c r="E93" s="78"/>
      <c r="F93" s="78"/>
      <c r="G93" s="78"/>
      <c r="H93" s="1"/>
      <c r="I93" s="1"/>
      <c r="J93" s="1"/>
      <c r="K93" s="1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</row>
    <row r="94" spans="1:26" x14ac:dyDescent="0.2">
      <c r="A94" s="78"/>
      <c r="B94" s="78"/>
      <c r="C94" s="78"/>
      <c r="D94" s="78"/>
      <c r="E94" s="78"/>
      <c r="F94" s="78"/>
      <c r="G94" s="78"/>
      <c r="H94" s="1"/>
      <c r="I94" s="1"/>
      <c r="J94" s="1"/>
      <c r="K94" s="1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</row>
    <row r="95" spans="1:26" x14ac:dyDescent="0.2">
      <c r="A95" s="78"/>
      <c r="B95" s="78"/>
      <c r="C95" s="78"/>
      <c r="D95" s="78"/>
      <c r="E95" s="78"/>
      <c r="F95" s="78"/>
      <c r="G95" s="78"/>
      <c r="H95" s="1"/>
      <c r="I95" s="1"/>
      <c r="J95" s="1"/>
      <c r="K95" s="1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</row>
    <row r="96" spans="1:26" x14ac:dyDescent="0.2">
      <c r="A96" s="78"/>
      <c r="B96" s="78"/>
      <c r="C96" s="78"/>
      <c r="D96" s="78"/>
      <c r="E96" s="78"/>
      <c r="F96" s="78"/>
      <c r="G96" s="1"/>
      <c r="H96" s="1"/>
      <c r="I96" s="1"/>
      <c r="J96" s="1"/>
      <c r="K96" s="1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</row>
    <row r="97" spans="1:26" x14ac:dyDescent="0.2">
      <c r="A97" s="78"/>
      <c r="B97" s="78"/>
      <c r="C97" s="78"/>
      <c r="D97" s="78"/>
      <c r="E97" s="78"/>
      <c r="F97" s="78"/>
      <c r="G97" s="1"/>
      <c r="H97" s="1"/>
      <c r="I97" s="1"/>
      <c r="J97" s="1"/>
      <c r="K97" s="1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</row>
    <row r="98" spans="1:26" x14ac:dyDescent="0.2">
      <c r="A98" s="78"/>
      <c r="B98" s="78"/>
      <c r="C98" s="78"/>
      <c r="D98" s="78"/>
      <c r="E98" s="78"/>
      <c r="F98" s="78"/>
      <c r="G98" s="1"/>
      <c r="H98" s="1"/>
      <c r="I98" s="1"/>
      <c r="J98" s="1"/>
      <c r="K98" s="1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</row>
    <row r="99" spans="1:26" x14ac:dyDescent="0.2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</row>
    <row r="100" spans="1:26" x14ac:dyDescent="0.2">
      <c r="A100" s="78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</row>
    <row r="101" spans="1:26" x14ac:dyDescent="0.2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</row>
    <row r="102" spans="1:26" x14ac:dyDescent="0.2">
      <c r="A102" s="78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</row>
    <row r="103" spans="1:26" x14ac:dyDescent="0.2">
      <c r="A103" s="78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</row>
    <row r="104" spans="1:26" x14ac:dyDescent="0.2">
      <c r="A104" s="78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</row>
    <row r="105" spans="1:26" x14ac:dyDescent="0.2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</row>
    <row r="106" spans="1:26" x14ac:dyDescent="0.2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</row>
    <row r="107" spans="1:26" x14ac:dyDescent="0.2">
      <c r="A107" s="78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</row>
    <row r="108" spans="1:26" x14ac:dyDescent="0.2">
      <c r="A108" s="78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</row>
  </sheetData>
  <mergeCells count="11">
    <mergeCell ref="D9:E9"/>
    <mergeCell ref="B2:I2"/>
    <mergeCell ref="B6:C6"/>
    <mergeCell ref="D6:F6"/>
    <mergeCell ref="D7:E7"/>
    <mergeCell ref="D8:E8"/>
    <mergeCell ref="D10:E10"/>
    <mergeCell ref="D12:E12"/>
    <mergeCell ref="D13:E13"/>
    <mergeCell ref="B15:F15"/>
    <mergeCell ref="H20:K20"/>
  </mergeCells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CCA13-D5A6-4CB9-9D7F-09436736E3F8}">
  <dimension ref="A1:Z108"/>
  <sheetViews>
    <sheetView workbookViewId="0"/>
  </sheetViews>
  <sheetFormatPr baseColWidth="10" defaultColWidth="9.1640625" defaultRowHeight="15" x14ac:dyDescent="0.2"/>
  <cols>
    <col min="1" max="1" width="10.6640625" style="75" customWidth="1"/>
    <col min="2" max="2" width="21.1640625" style="75" customWidth="1"/>
    <col min="3" max="6" width="10.6640625" style="75" customWidth="1"/>
    <col min="7" max="7" width="11" style="75" customWidth="1"/>
    <col min="8" max="8" width="12.6640625" style="75" customWidth="1"/>
    <col min="9" max="9" width="31.5" style="75" customWidth="1"/>
    <col min="10" max="10" width="15.6640625" style="75" customWidth="1"/>
    <col min="11" max="11" width="11.6640625" style="75" customWidth="1"/>
    <col min="12" max="13" width="9.1640625" style="75"/>
    <col min="14" max="19" width="10.6640625" style="75" customWidth="1"/>
    <col min="20" max="16384" width="9.1640625" style="75"/>
  </cols>
  <sheetData>
    <row r="1" spans="1:26" ht="16" thickBo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ht="20" thickBot="1" x14ac:dyDescent="0.3">
      <c r="A2" s="78"/>
      <c r="B2" s="214" t="s">
        <v>191</v>
      </c>
      <c r="C2" s="215"/>
      <c r="D2" s="215"/>
      <c r="E2" s="215"/>
      <c r="F2" s="215"/>
      <c r="G2" s="215"/>
      <c r="H2" s="215"/>
      <c r="I2" s="216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26" x14ac:dyDescent="0.2">
      <c r="A3" s="78"/>
      <c r="B3" s="140" t="s">
        <v>59</v>
      </c>
      <c r="C3" s="141" t="s">
        <v>20</v>
      </c>
      <c r="D3" s="141" t="s">
        <v>52</v>
      </c>
      <c r="E3" s="141" t="s">
        <v>12</v>
      </c>
      <c r="F3" s="142" t="s">
        <v>54</v>
      </c>
      <c r="G3" s="142" t="s">
        <v>14</v>
      </c>
      <c r="H3" s="142" t="s">
        <v>60</v>
      </c>
      <c r="I3" s="143" t="s">
        <v>55</v>
      </c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26" ht="16" thickBot="1" x14ac:dyDescent="0.25">
      <c r="A4" s="78"/>
      <c r="B4" s="95">
        <v>0</v>
      </c>
      <c r="C4" s="96">
        <v>0</v>
      </c>
      <c r="D4" s="96">
        <v>0</v>
      </c>
      <c r="E4" s="96">
        <v>0</v>
      </c>
      <c r="F4" s="97">
        <v>0</v>
      </c>
      <c r="G4" s="98">
        <v>0</v>
      </c>
      <c r="H4" s="98">
        <v>0</v>
      </c>
      <c r="I4" s="99">
        <v>0</v>
      </c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26" ht="16" thickBot="1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spans="1:26" ht="19" x14ac:dyDescent="0.25">
      <c r="A6" s="78"/>
      <c r="B6" s="217" t="s">
        <v>192</v>
      </c>
      <c r="C6" s="218"/>
      <c r="D6" s="219" t="s">
        <v>193</v>
      </c>
      <c r="E6" s="220"/>
      <c r="F6" s="221"/>
      <c r="G6" s="78"/>
      <c r="H6" s="1"/>
      <c r="I6" s="1"/>
      <c r="J6" s="1"/>
      <c r="K6" s="1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pans="1:26" x14ac:dyDescent="0.2">
      <c r="A7" s="78"/>
      <c r="B7" s="117" t="s">
        <v>2</v>
      </c>
      <c r="C7" s="118">
        <v>0</v>
      </c>
      <c r="D7" s="222" t="str">
        <f t="shared" ref="D7:D13" si="0">B7</f>
        <v>Income</v>
      </c>
      <c r="E7" s="223"/>
      <c r="F7" s="119">
        <f>F27</f>
        <v>0</v>
      </c>
      <c r="G7" s="78"/>
      <c r="H7" s="1"/>
      <c r="I7" s="1"/>
      <c r="J7" s="1"/>
      <c r="K7" s="1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</row>
    <row r="8" spans="1:26" x14ac:dyDescent="0.2">
      <c r="A8" s="78"/>
      <c r="B8" s="120" t="s">
        <v>12</v>
      </c>
      <c r="C8" s="121">
        <f>SUM(F66:F68)</f>
        <v>0</v>
      </c>
      <c r="D8" s="228" t="str">
        <f t="shared" si="0"/>
        <v>Savings</v>
      </c>
      <c r="E8" s="229"/>
      <c r="F8" s="122">
        <f>D65</f>
        <v>0</v>
      </c>
      <c r="G8" s="78"/>
      <c r="H8" s="1"/>
      <c r="I8" s="1"/>
      <c r="J8" s="1"/>
      <c r="K8" s="1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</row>
    <row r="9" spans="1:26" x14ac:dyDescent="0.2">
      <c r="A9" s="78"/>
      <c r="B9" s="123" t="s">
        <v>120</v>
      </c>
      <c r="C9" s="124">
        <f>SUM(F72:F73)</f>
        <v>0</v>
      </c>
      <c r="D9" s="232" t="str">
        <f t="shared" si="0"/>
        <v>Tithing</v>
      </c>
      <c r="E9" s="232"/>
      <c r="F9" s="125">
        <f>D71</f>
        <v>0</v>
      </c>
      <c r="G9" s="78"/>
      <c r="H9" s="1"/>
      <c r="I9" s="1"/>
      <c r="J9" s="1"/>
      <c r="K9" s="1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</row>
    <row r="10" spans="1:26" x14ac:dyDescent="0.2">
      <c r="A10" s="78"/>
      <c r="B10" s="126" t="s">
        <v>14</v>
      </c>
      <c r="C10" s="127">
        <f>SUM(F77:F79)</f>
        <v>0</v>
      </c>
      <c r="D10" s="230" t="str">
        <f t="shared" si="0"/>
        <v>Debt</v>
      </c>
      <c r="E10" s="231"/>
      <c r="F10" s="128">
        <f>D76</f>
        <v>0</v>
      </c>
      <c r="G10" s="78"/>
      <c r="H10" s="1"/>
      <c r="I10" s="1"/>
      <c r="J10" s="1"/>
      <c r="K10" s="1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</row>
    <row r="11" spans="1:26" x14ac:dyDescent="0.2">
      <c r="A11" s="78"/>
      <c r="B11" s="129" t="s">
        <v>124</v>
      </c>
      <c r="C11" s="130">
        <f>C7-C8-C9-C10</f>
        <v>0</v>
      </c>
      <c r="D11" s="131" t="str">
        <f t="shared" si="0"/>
        <v>Budgeted</v>
      </c>
      <c r="E11" s="132"/>
      <c r="F11" s="133">
        <f>F7-F8-F9-F10</f>
        <v>0</v>
      </c>
      <c r="G11" s="78"/>
      <c r="H11" s="1"/>
      <c r="I11" s="1"/>
      <c r="J11" s="1"/>
      <c r="K11" s="1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</row>
    <row r="12" spans="1:26" x14ac:dyDescent="0.2">
      <c r="A12" s="78"/>
      <c r="B12" s="134" t="s">
        <v>0</v>
      </c>
      <c r="C12" s="135">
        <f>F62</f>
        <v>0</v>
      </c>
      <c r="D12" s="224" t="str">
        <f t="shared" si="0"/>
        <v>Expenses</v>
      </c>
      <c r="E12" s="225"/>
      <c r="F12" s="136">
        <f>E62</f>
        <v>0</v>
      </c>
      <c r="G12" s="78"/>
      <c r="H12" s="1"/>
      <c r="I12" s="1"/>
      <c r="J12" s="1"/>
      <c r="K12" s="1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</row>
    <row r="13" spans="1:26" ht="16" thickBot="1" x14ac:dyDescent="0.25">
      <c r="A13" s="78"/>
      <c r="B13" s="137" t="s">
        <v>123</v>
      </c>
      <c r="C13" s="138">
        <f>C11-C12</f>
        <v>0</v>
      </c>
      <c r="D13" s="226" t="str">
        <f t="shared" si="0"/>
        <v>Remaining</v>
      </c>
      <c r="E13" s="227"/>
      <c r="F13" s="139">
        <f>F11-F12</f>
        <v>0</v>
      </c>
      <c r="G13" s="78"/>
      <c r="H13" s="1"/>
      <c r="I13" s="1"/>
      <c r="J13" s="1"/>
      <c r="K13" s="1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</row>
    <row r="14" spans="1:26" ht="16" thickBot="1" x14ac:dyDescent="0.25">
      <c r="A14" s="78"/>
      <c r="B14" s="78"/>
      <c r="C14" s="78"/>
      <c r="D14" s="78"/>
      <c r="E14" s="78"/>
      <c r="F14" s="78"/>
      <c r="G14" s="78"/>
      <c r="H14" s="1"/>
      <c r="I14" s="1"/>
      <c r="J14" s="1"/>
      <c r="K14" s="1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</row>
    <row r="15" spans="1:26" ht="20" thickBot="1" x14ac:dyDescent="0.3">
      <c r="A15" s="78"/>
      <c r="B15" s="214" t="s">
        <v>194</v>
      </c>
      <c r="C15" s="215"/>
      <c r="D15" s="215"/>
      <c r="E15" s="215"/>
      <c r="F15" s="216"/>
      <c r="G15" s="78"/>
      <c r="H15" s="1"/>
      <c r="I15" s="1"/>
      <c r="J15" s="1"/>
      <c r="K15" s="1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</row>
    <row r="16" spans="1:26" ht="17" thickBot="1" x14ac:dyDescent="0.25">
      <c r="A16" s="78"/>
      <c r="B16" s="63" t="s">
        <v>2</v>
      </c>
      <c r="C16" s="64"/>
      <c r="D16" s="65"/>
      <c r="E16" s="65"/>
      <c r="F16" s="66"/>
      <c r="G16" s="78"/>
      <c r="H16" s="1"/>
      <c r="I16" s="1"/>
      <c r="J16" s="1"/>
      <c r="K16" s="1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</row>
    <row r="17" spans="1:26" x14ac:dyDescent="0.2">
      <c r="A17" s="78"/>
      <c r="B17" s="4"/>
      <c r="C17" s="2"/>
      <c r="D17" s="2"/>
      <c r="E17" s="2"/>
      <c r="F17" s="62"/>
      <c r="G17" s="78"/>
      <c r="H17" s="1"/>
      <c r="I17" s="1"/>
      <c r="J17" s="1"/>
      <c r="K17" s="1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</row>
    <row r="18" spans="1:26" x14ac:dyDescent="0.2">
      <c r="A18" s="78"/>
      <c r="B18" s="4"/>
      <c r="C18" s="2"/>
      <c r="D18" s="2"/>
      <c r="E18" s="2"/>
      <c r="F18" s="55"/>
      <c r="G18" s="78"/>
      <c r="H18" s="1"/>
      <c r="I18" s="1"/>
      <c r="J18" s="1"/>
      <c r="K18" s="1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</row>
    <row r="19" spans="1:26" ht="16" thickBot="1" x14ac:dyDescent="0.25">
      <c r="A19" s="78"/>
      <c r="B19" s="4"/>
      <c r="C19" s="2"/>
      <c r="D19" s="2"/>
      <c r="E19" s="2"/>
      <c r="F19" s="55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</row>
    <row r="20" spans="1:26" ht="20" thickBot="1" x14ac:dyDescent="0.3">
      <c r="A20" s="78"/>
      <c r="B20" s="4"/>
      <c r="C20" s="2"/>
      <c r="D20" s="2"/>
      <c r="E20" s="2"/>
      <c r="F20" s="55"/>
      <c r="G20" s="78"/>
      <c r="H20" s="214" t="s">
        <v>195</v>
      </c>
      <c r="I20" s="215"/>
      <c r="J20" s="215"/>
      <c r="K20" s="216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</row>
    <row r="21" spans="1:26" x14ac:dyDescent="0.2">
      <c r="A21" s="78"/>
      <c r="B21" s="4"/>
      <c r="C21" s="2"/>
      <c r="D21" s="2"/>
      <c r="E21" s="2"/>
      <c r="F21" s="55"/>
      <c r="G21" s="78"/>
      <c r="H21" s="76" t="s">
        <v>5</v>
      </c>
      <c r="I21" s="76" t="s">
        <v>7</v>
      </c>
      <c r="J21" s="76" t="s">
        <v>8</v>
      </c>
      <c r="K21" s="77" t="s">
        <v>6</v>
      </c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</row>
    <row r="22" spans="1:26" x14ac:dyDescent="0.2">
      <c r="A22" s="78"/>
      <c r="B22" s="4"/>
      <c r="C22" s="2"/>
      <c r="D22" s="2"/>
      <c r="E22" s="2"/>
      <c r="F22" s="55"/>
      <c r="G22" s="78"/>
      <c r="H22" s="79"/>
      <c r="I22" s="76"/>
      <c r="J22" s="76"/>
      <c r="K22" s="77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</row>
    <row r="23" spans="1:26" x14ac:dyDescent="0.2">
      <c r="A23" s="78"/>
      <c r="B23" s="4"/>
      <c r="C23" s="2"/>
      <c r="D23" s="2"/>
      <c r="E23" s="2"/>
      <c r="F23" s="55"/>
      <c r="G23" s="78"/>
      <c r="H23" s="79"/>
      <c r="I23" s="76"/>
      <c r="J23" s="76"/>
      <c r="K23" s="77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</row>
    <row r="24" spans="1:26" x14ac:dyDescent="0.2">
      <c r="A24" s="78"/>
      <c r="B24" s="4"/>
      <c r="C24" s="2"/>
      <c r="D24" s="2"/>
      <c r="E24" s="2"/>
      <c r="F24" s="55"/>
      <c r="G24" s="78"/>
      <c r="H24" s="79"/>
      <c r="I24" s="76"/>
      <c r="J24" s="76"/>
      <c r="K24" s="77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</row>
    <row r="25" spans="1:26" x14ac:dyDescent="0.2">
      <c r="A25" s="78"/>
      <c r="B25" s="4"/>
      <c r="C25" s="2"/>
      <c r="D25" s="2"/>
      <c r="E25" s="2"/>
      <c r="F25" s="55"/>
      <c r="G25" s="78"/>
      <c r="H25" s="79"/>
      <c r="I25" s="76"/>
      <c r="J25" s="76"/>
      <c r="K25" s="77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</row>
    <row r="26" spans="1:26" x14ac:dyDescent="0.2">
      <c r="A26" s="78"/>
      <c r="B26" s="5"/>
      <c r="C26" s="2"/>
      <c r="D26" s="2"/>
      <c r="E26" s="2"/>
      <c r="F26" s="56"/>
      <c r="G26" s="78"/>
      <c r="H26" s="79"/>
      <c r="I26" s="76"/>
      <c r="J26" s="76"/>
      <c r="K26" s="77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</row>
    <row r="27" spans="1:26" s="41" customFormat="1" ht="16" thickBot="1" x14ac:dyDescent="0.25">
      <c r="A27" s="78"/>
      <c r="B27" s="6" t="s">
        <v>3</v>
      </c>
      <c r="C27" s="7"/>
      <c r="D27" s="58"/>
      <c r="E27" s="58"/>
      <c r="F27" s="57">
        <f>SUM(F17:F26)</f>
        <v>0</v>
      </c>
      <c r="G27" s="78"/>
      <c r="H27" s="79"/>
      <c r="I27" s="76"/>
      <c r="J27" s="76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</row>
    <row r="28" spans="1:26" ht="16" thickBot="1" x14ac:dyDescent="0.25">
      <c r="A28" s="78"/>
      <c r="B28" s="59"/>
      <c r="C28" s="60"/>
      <c r="D28" s="60"/>
      <c r="E28" s="60"/>
      <c r="F28" s="61"/>
      <c r="G28" s="78"/>
      <c r="H28" s="79"/>
      <c r="I28" s="76"/>
      <c r="J28" s="76"/>
      <c r="K28" s="77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</row>
    <row r="29" spans="1:26" ht="17" thickBot="1" x14ac:dyDescent="0.25">
      <c r="A29" s="78"/>
      <c r="B29" s="51" t="s">
        <v>0</v>
      </c>
      <c r="C29" s="49"/>
      <c r="D29" s="49"/>
      <c r="E29" s="49"/>
      <c r="F29" s="68" t="s">
        <v>1</v>
      </c>
      <c r="G29" s="78"/>
      <c r="H29" s="79"/>
      <c r="I29" s="76"/>
      <c r="J29" s="76"/>
      <c r="K29" s="77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</row>
    <row r="30" spans="1:26" x14ac:dyDescent="0.2">
      <c r="A30" s="78"/>
      <c r="B30" s="67" t="s">
        <v>87</v>
      </c>
      <c r="C30" s="72" t="e">
        <f>(D31+D34+D40+D46)/(E81+E62)</f>
        <v>#DIV/0!</v>
      </c>
      <c r="D30" s="71"/>
      <c r="E30" s="89"/>
      <c r="F30" s="91"/>
      <c r="G30" s="78"/>
      <c r="H30" s="79"/>
      <c r="I30" s="76"/>
      <c r="J30" s="76"/>
      <c r="K30" s="77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</row>
    <row r="31" spans="1:26" x14ac:dyDescent="0.2">
      <c r="A31" s="78"/>
      <c r="B31" s="81" t="s">
        <v>37</v>
      </c>
      <c r="C31" s="3"/>
      <c r="D31" s="92">
        <f>SUM(E32:E33)</f>
        <v>0</v>
      </c>
      <c r="E31" s="3"/>
      <c r="F31" s="87">
        <f>SUM(F32:F33)</f>
        <v>0</v>
      </c>
      <c r="G31" s="78"/>
      <c r="H31" s="79"/>
      <c r="I31" s="76"/>
      <c r="J31" s="76"/>
      <c r="K31" s="77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</row>
    <row r="32" spans="1:26" x14ac:dyDescent="0.2">
      <c r="A32" s="78"/>
      <c r="B32" s="46" t="s">
        <v>62</v>
      </c>
      <c r="C32" s="3"/>
      <c r="D32" s="3"/>
      <c r="E32" s="3">
        <f>SUMIF(Table4491423424[Category],"Rent",Table4491423424[Amount])</f>
        <v>0</v>
      </c>
      <c r="F32" s="84"/>
      <c r="G32" s="78"/>
      <c r="H32" s="79"/>
      <c r="I32" s="76"/>
      <c r="J32" s="76"/>
      <c r="K32" s="77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</row>
    <row r="33" spans="1:26" x14ac:dyDescent="0.2">
      <c r="A33" s="78"/>
      <c r="B33" s="46" t="s">
        <v>38</v>
      </c>
      <c r="C33" s="3"/>
      <c r="D33" s="3"/>
      <c r="E33" s="3">
        <f>SUMIF(Table4491423424[Category],"Utilities",Table4491423424[Amount])</f>
        <v>0</v>
      </c>
      <c r="F33" s="84"/>
      <c r="G33" s="78"/>
      <c r="H33" s="79"/>
      <c r="I33" s="76"/>
      <c r="J33" s="76"/>
      <c r="K33" s="77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</row>
    <row r="34" spans="1:26" x14ac:dyDescent="0.2">
      <c r="A34" s="78"/>
      <c r="B34" s="47" t="s">
        <v>39</v>
      </c>
      <c r="C34" s="3"/>
      <c r="D34" s="92">
        <f>SUM(E35:E39)</f>
        <v>0</v>
      </c>
      <c r="E34" s="3"/>
      <c r="F34" s="87">
        <f>SUM(F35:F39)</f>
        <v>0</v>
      </c>
      <c r="G34" s="78"/>
      <c r="H34" s="79"/>
      <c r="I34" s="76"/>
      <c r="J34" s="76"/>
      <c r="K34" s="77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</row>
    <row r="35" spans="1:26" ht="15.75" customHeight="1" x14ac:dyDescent="0.2">
      <c r="A35" s="78"/>
      <c r="B35" s="46" t="s">
        <v>82</v>
      </c>
      <c r="C35" s="3"/>
      <c r="D35" s="3"/>
      <c r="E35" s="3">
        <f>SUMIF(Table4491423424[Category],"Restaurants",Table4491423424[Amount])</f>
        <v>0</v>
      </c>
      <c r="F35" s="84"/>
      <c r="G35" s="78"/>
      <c r="H35" s="79"/>
      <c r="I35" s="76"/>
      <c r="J35" s="76"/>
      <c r="K35" s="77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</row>
    <row r="36" spans="1:26" ht="14.25" customHeight="1" x14ac:dyDescent="0.2">
      <c r="A36" s="78"/>
      <c r="B36" s="46" t="s">
        <v>63</v>
      </c>
      <c r="C36" s="3"/>
      <c r="D36" s="3"/>
      <c r="E36" s="3">
        <f>SUMIF(Table4491423424[Category],"Fast Food",Table4491423424[Amount])</f>
        <v>0</v>
      </c>
      <c r="F36" s="84"/>
      <c r="G36" s="78"/>
      <c r="H36" s="79"/>
      <c r="I36" s="76"/>
      <c r="J36" s="76"/>
      <c r="K36" s="77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</row>
    <row r="37" spans="1:26" x14ac:dyDescent="0.2">
      <c r="A37" s="78"/>
      <c r="B37" s="46" t="s">
        <v>64</v>
      </c>
      <c r="C37" s="3"/>
      <c r="D37" s="3"/>
      <c r="E37" s="3">
        <f>SUMIF(Table4491423424[Category],"Groceries",Table4491423424[Amount])</f>
        <v>0</v>
      </c>
      <c r="F37" s="84"/>
      <c r="G37" s="78"/>
      <c r="H37" s="79"/>
      <c r="I37" s="76"/>
      <c r="J37" s="76"/>
      <c r="K37" s="77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</row>
    <row r="38" spans="1:26" x14ac:dyDescent="0.2">
      <c r="A38" s="78"/>
      <c r="B38" s="46" t="s">
        <v>65</v>
      </c>
      <c r="C38" s="3"/>
      <c r="D38" s="3"/>
      <c r="E38" s="3">
        <f>SUMIF(Table4491423424[Category],"Coffee",Table4491423424[Amount])</f>
        <v>0</v>
      </c>
      <c r="F38" s="84"/>
      <c r="G38" s="78"/>
      <c r="H38" s="79"/>
      <c r="I38" s="76"/>
      <c r="J38" s="76"/>
      <c r="K38" s="77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</row>
    <row r="39" spans="1:26" x14ac:dyDescent="0.2">
      <c r="A39" s="78"/>
      <c r="B39" s="46" t="s">
        <v>66</v>
      </c>
      <c r="C39" s="3"/>
      <c r="D39" s="3"/>
      <c r="E39" s="3">
        <f>SUMIF(Table4491423424[Category],"Bars",Table4491423424[Amount])</f>
        <v>0</v>
      </c>
      <c r="F39" s="84"/>
      <c r="G39" s="78"/>
      <c r="H39" s="79"/>
      <c r="I39" s="76"/>
      <c r="J39" s="76"/>
      <c r="K39" s="77"/>
      <c r="L39" s="78"/>
      <c r="M39" s="78"/>
      <c r="N39" s="37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spans="1:26" x14ac:dyDescent="0.2">
      <c r="A40" s="78"/>
      <c r="B40" s="48" t="s">
        <v>67</v>
      </c>
      <c r="C40" s="44"/>
      <c r="D40" s="93">
        <f>SUM(E41:E45)</f>
        <v>0</v>
      </c>
      <c r="E40" s="3"/>
      <c r="F40" s="88">
        <f>SUM(F41:F45)</f>
        <v>0</v>
      </c>
      <c r="G40" s="78"/>
      <c r="H40" s="79"/>
      <c r="I40" s="76"/>
      <c r="J40" s="76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spans="1:26" x14ac:dyDescent="0.2">
      <c r="A41" s="1"/>
      <c r="B41" s="46" t="s">
        <v>42</v>
      </c>
      <c r="C41" s="3"/>
      <c r="D41" s="3"/>
      <c r="E41" s="3">
        <f>SUMIF(Table4491423424[Category],"Gas",Table4491423424[Amount])</f>
        <v>0</v>
      </c>
      <c r="F41" s="84"/>
      <c r="G41" s="78"/>
      <c r="H41" s="79"/>
      <c r="I41" s="76"/>
      <c r="K41" s="77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</row>
    <row r="42" spans="1:26" x14ac:dyDescent="0.2">
      <c r="A42" s="1"/>
      <c r="B42" s="46" t="s">
        <v>68</v>
      </c>
      <c r="C42" s="116"/>
      <c r="D42" s="116"/>
      <c r="E42" s="3">
        <f>SUMIF(Table4491423424[Category],"Insurance",Table4491423424[Amount])</f>
        <v>0</v>
      </c>
      <c r="F42" s="84"/>
      <c r="G42" s="78"/>
      <c r="H42" s="79"/>
      <c r="J42" s="76"/>
      <c r="K42" s="77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</row>
    <row r="43" spans="1:26" x14ac:dyDescent="0.2">
      <c r="A43" s="18"/>
      <c r="B43" s="46" t="s">
        <v>83</v>
      </c>
      <c r="C43" s="116"/>
      <c r="D43" s="116"/>
      <c r="E43" s="3">
        <f>SUMIF(Table4491423424[Category],"Maintenance",Table4491423424[Amount])</f>
        <v>0</v>
      </c>
      <c r="F43" s="84"/>
      <c r="G43" s="78"/>
      <c r="H43" s="79"/>
      <c r="I43" s="76"/>
      <c r="J43" s="76"/>
      <c r="K43" s="77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</row>
    <row r="44" spans="1:26" x14ac:dyDescent="0.2">
      <c r="A44" s="43"/>
      <c r="B44" s="46" t="s">
        <v>69</v>
      </c>
      <c r="C44" s="116"/>
      <c r="D44" s="116"/>
      <c r="E44" s="3">
        <f>SUMIF(Table4491423424[Category],"Parking",Table4491423424[Amount])</f>
        <v>0</v>
      </c>
      <c r="F44" s="84"/>
      <c r="G44" s="78"/>
      <c r="H44" s="79"/>
      <c r="I44" s="76"/>
      <c r="J44" s="76"/>
      <c r="K44" s="77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</row>
    <row r="45" spans="1:26" x14ac:dyDescent="0.2">
      <c r="A45" s="78"/>
      <c r="B45" s="46" t="s">
        <v>40</v>
      </c>
      <c r="C45" s="116"/>
      <c r="D45" s="116"/>
      <c r="E45" s="3">
        <f>SUMIF(Table4491423424[Category],"Uber",Table4491423424[Amount])</f>
        <v>0</v>
      </c>
      <c r="F45" s="84"/>
      <c r="G45" s="78"/>
      <c r="H45" s="79"/>
      <c r="I45" s="76"/>
      <c r="J45" s="76"/>
      <c r="K45" s="77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</row>
    <row r="46" spans="1:26" x14ac:dyDescent="0.2">
      <c r="A46" s="1"/>
      <c r="B46" s="81" t="s">
        <v>70</v>
      </c>
      <c r="C46" s="116"/>
      <c r="D46" s="94">
        <f>SUM(E47:E48)</f>
        <v>0</v>
      </c>
      <c r="E46" s="3"/>
      <c r="F46" s="87">
        <f>SUM(F47:F48)</f>
        <v>0</v>
      </c>
      <c r="G46" s="78"/>
      <c r="H46" s="79"/>
      <c r="I46" s="76"/>
      <c r="J46" s="76"/>
      <c r="K46" s="77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</row>
    <row r="47" spans="1:26" x14ac:dyDescent="0.2">
      <c r="A47" s="1"/>
      <c r="B47" s="46" t="s">
        <v>44</v>
      </c>
      <c r="C47" s="116"/>
      <c r="D47" s="116"/>
      <c r="E47" s="3">
        <f>SUMIF(Table4491423424[Category],"Tuition",Table4491423424[Amount])</f>
        <v>0</v>
      </c>
      <c r="F47" s="84"/>
      <c r="G47" s="78"/>
      <c r="H47" s="79"/>
      <c r="I47" s="76"/>
      <c r="J47" s="76"/>
      <c r="K47" s="77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</row>
    <row r="48" spans="1:26" x14ac:dyDescent="0.2">
      <c r="A48" s="1"/>
      <c r="B48" s="46" t="s">
        <v>71</v>
      </c>
      <c r="C48" s="116"/>
      <c r="D48" s="116"/>
      <c r="E48" s="3">
        <f>SUMIF(Table4491423424[Category],"Books",Table4491423424[Amount])</f>
        <v>0</v>
      </c>
      <c r="F48" s="84"/>
      <c r="G48" s="78"/>
      <c r="H48" s="79"/>
      <c r="I48" s="76"/>
      <c r="J48" s="76"/>
      <c r="K48" s="77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</row>
    <row r="49" spans="1:26" x14ac:dyDescent="0.2">
      <c r="A49" s="1"/>
      <c r="B49" s="46"/>
      <c r="C49" s="116"/>
      <c r="D49" s="116"/>
      <c r="E49" s="3"/>
      <c r="F49" s="84"/>
      <c r="G49" s="78"/>
      <c r="H49" s="79"/>
      <c r="I49" s="76"/>
      <c r="J49" s="76"/>
      <c r="K49" s="77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</row>
    <row r="50" spans="1:26" x14ac:dyDescent="0.2">
      <c r="A50" s="1"/>
      <c r="B50" s="46"/>
      <c r="C50" s="116"/>
      <c r="D50" s="116"/>
      <c r="E50" s="3"/>
      <c r="F50" s="84"/>
      <c r="G50" s="78"/>
      <c r="H50" s="79"/>
      <c r="I50" s="76"/>
      <c r="J50" s="76"/>
      <c r="K50" s="77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</row>
    <row r="51" spans="1:26" x14ac:dyDescent="0.2">
      <c r="A51" s="1"/>
      <c r="B51" s="50" t="s">
        <v>121</v>
      </c>
      <c r="C51" s="73" t="e">
        <f>(D52+D55+D60)/(E81+E62)</f>
        <v>#DIV/0!</v>
      </c>
      <c r="D51" s="116"/>
      <c r="E51" s="3"/>
      <c r="F51" s="84"/>
      <c r="G51" s="78"/>
      <c r="H51" s="79"/>
      <c r="I51" s="76"/>
      <c r="J51" s="76"/>
      <c r="K51" s="77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</row>
    <row r="52" spans="1:26" x14ac:dyDescent="0.2">
      <c r="A52" s="1"/>
      <c r="B52" s="81" t="s">
        <v>41</v>
      </c>
      <c r="C52" s="116"/>
      <c r="D52" s="94">
        <f>SUM(E53:E54)</f>
        <v>0</v>
      </c>
      <c r="E52" s="3"/>
      <c r="F52" s="87">
        <f>SUM(F53:F54)</f>
        <v>0</v>
      </c>
      <c r="G52" s="78"/>
      <c r="H52" s="79"/>
      <c r="I52" s="76"/>
      <c r="J52" s="76"/>
      <c r="K52" s="77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</row>
    <row r="53" spans="1:26" x14ac:dyDescent="0.2">
      <c r="A53" s="1"/>
      <c r="B53" s="46" t="s">
        <v>72</v>
      </c>
      <c r="C53" s="116"/>
      <c r="D53" s="116"/>
      <c r="E53" s="3">
        <f>SUMIF(Table4491423424[Category],"Subscription",Table4491423424[Amount])</f>
        <v>0</v>
      </c>
      <c r="F53" s="84"/>
      <c r="G53" s="78"/>
      <c r="H53" s="79"/>
      <c r="I53" s="76"/>
      <c r="J53" s="76"/>
      <c r="K53" s="77"/>
      <c r="L53" s="78"/>
      <c r="M53" s="86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</row>
    <row r="54" spans="1:26" x14ac:dyDescent="0.2">
      <c r="A54" s="1"/>
      <c r="B54" s="46" t="s">
        <v>84</v>
      </c>
      <c r="C54" s="116"/>
      <c r="D54" s="116"/>
      <c r="E54" s="3">
        <f>SUMIF(Table4491423424[Category],"Events",Table4491423424[Amount])</f>
        <v>0</v>
      </c>
      <c r="F54" s="84"/>
      <c r="G54" s="78"/>
      <c r="H54" s="79"/>
      <c r="I54" s="76"/>
      <c r="J54" s="76"/>
      <c r="K54" s="77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</row>
    <row r="55" spans="1:26" x14ac:dyDescent="0.2">
      <c r="A55" s="1"/>
      <c r="B55" s="81" t="s">
        <v>73</v>
      </c>
      <c r="C55" s="116"/>
      <c r="D55" s="94">
        <f>SUM(E56:E59)</f>
        <v>0</v>
      </c>
      <c r="E55" s="3"/>
      <c r="F55" s="87">
        <f>SUM(F56:F59)</f>
        <v>0</v>
      </c>
      <c r="G55" s="78"/>
      <c r="H55" s="79"/>
      <c r="I55" s="76"/>
      <c r="J55" s="76"/>
      <c r="K55" s="77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</row>
    <row r="56" spans="1:26" x14ac:dyDescent="0.2">
      <c r="A56" s="1"/>
      <c r="B56" s="46" t="s">
        <v>74</v>
      </c>
      <c r="C56" s="116"/>
      <c r="D56" s="116"/>
      <c r="E56" s="3">
        <f>SUMIF(Table4491423424[Category],"Clothes",Table4491423424[Amount])</f>
        <v>0</v>
      </c>
      <c r="F56" s="84"/>
      <c r="G56" s="78"/>
      <c r="H56" s="79"/>
      <c r="I56" s="76"/>
      <c r="J56" s="76"/>
      <c r="K56" s="77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</row>
    <row r="57" spans="1:26" ht="17" thickBot="1" x14ac:dyDescent="0.25">
      <c r="A57" s="1"/>
      <c r="B57" s="46" t="s">
        <v>75</v>
      </c>
      <c r="C57" s="116"/>
      <c r="D57" s="116"/>
      <c r="E57" s="3">
        <f>SUMIF(Table4491423424[Category],"Accessories",Table4491423424[Amount])</f>
        <v>0</v>
      </c>
      <c r="F57" s="84"/>
      <c r="G57" s="78"/>
      <c r="H57" s="12" t="s">
        <v>196</v>
      </c>
      <c r="I57" s="9"/>
      <c r="J57" s="9"/>
      <c r="K57" s="10">
        <f>SUM(K22:K56)</f>
        <v>0</v>
      </c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</row>
    <row r="58" spans="1:26" x14ac:dyDescent="0.2">
      <c r="A58" s="1"/>
      <c r="B58" s="46" t="s">
        <v>76</v>
      </c>
      <c r="C58" s="116"/>
      <c r="D58" s="116"/>
      <c r="E58" s="3">
        <f>SUMIF(Table4491423424[Category],"Gifts",Table4491423424[Amount])</f>
        <v>0</v>
      </c>
      <c r="F58" s="84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</row>
    <row r="59" spans="1:26" ht="16" thickBot="1" x14ac:dyDescent="0.25">
      <c r="A59" s="78"/>
      <c r="B59" s="46" t="s">
        <v>81</v>
      </c>
      <c r="C59" s="116"/>
      <c r="D59" s="116"/>
      <c r="E59" s="3">
        <f>SUMIF(Table4491423424[Category],"Cosmetics",Table4491423424[Amount])</f>
        <v>0</v>
      </c>
      <c r="F59" s="84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</row>
    <row r="60" spans="1:26" x14ac:dyDescent="0.2">
      <c r="A60" s="78"/>
      <c r="B60" s="81" t="s">
        <v>77</v>
      </c>
      <c r="C60" s="116"/>
      <c r="D60" s="94">
        <f>SUMIF(Table4491423424[Category],"Hobbies",Table4491423424[Amount])</f>
        <v>0</v>
      </c>
      <c r="E60" s="3"/>
      <c r="F60" s="87">
        <v>0</v>
      </c>
      <c r="G60" s="78"/>
      <c r="H60" s="145" t="s">
        <v>103</v>
      </c>
      <c r="I60" s="146"/>
      <c r="J60" s="146"/>
      <c r="K60" s="147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</row>
    <row r="61" spans="1:26" x14ac:dyDescent="0.2">
      <c r="A61" s="78"/>
      <c r="B61" s="81"/>
      <c r="C61" s="116"/>
      <c r="D61" s="74"/>
      <c r="E61" s="3"/>
      <c r="F61" s="84"/>
      <c r="G61" s="78"/>
      <c r="H61" s="190"/>
      <c r="I61" s="149"/>
      <c r="J61" s="149"/>
      <c r="K61" s="150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</row>
    <row r="62" spans="1:26" ht="16" thickBot="1" x14ac:dyDescent="0.25">
      <c r="A62" s="78"/>
      <c r="B62" s="83" t="s">
        <v>4</v>
      </c>
      <c r="C62" s="82"/>
      <c r="D62" s="82"/>
      <c r="E62" s="90">
        <f>SUM(D31,D34,D40,D46,D52,D55,D60)</f>
        <v>0</v>
      </c>
      <c r="F62" s="85">
        <f>SUM(F31,F34,F40,F46,F52,F55,F60)</f>
        <v>0</v>
      </c>
      <c r="G62" s="78"/>
      <c r="H62" s="190"/>
      <c r="I62" s="149"/>
      <c r="J62" s="149"/>
      <c r="K62" s="150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</row>
    <row r="63" spans="1:26" x14ac:dyDescent="0.2">
      <c r="A63" s="78"/>
      <c r="B63" s="100"/>
      <c r="C63" s="101"/>
      <c r="D63" s="101"/>
      <c r="E63" s="102"/>
      <c r="F63" s="84"/>
      <c r="G63" s="78"/>
      <c r="H63" s="144"/>
      <c r="I63" s="149"/>
      <c r="J63" s="149"/>
      <c r="K63" s="150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</row>
    <row r="64" spans="1:26" x14ac:dyDescent="0.2">
      <c r="A64" s="78"/>
      <c r="B64" s="103" t="s">
        <v>85</v>
      </c>
      <c r="C64" s="104" t="e">
        <f>(D65)/(E81+E62)</f>
        <v>#DIV/0!</v>
      </c>
      <c r="D64" s="101"/>
      <c r="E64" s="102"/>
      <c r="F64" s="84"/>
      <c r="G64" s="78"/>
      <c r="H64" s="144"/>
      <c r="I64" s="149"/>
      <c r="J64" s="149"/>
      <c r="K64" s="150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</row>
    <row r="65" spans="1:26" x14ac:dyDescent="0.2">
      <c r="A65" s="78"/>
      <c r="B65" s="105" t="s">
        <v>94</v>
      </c>
      <c r="C65" s="101"/>
      <c r="D65" s="106">
        <f>SUM(E66:E68)</f>
        <v>0</v>
      </c>
      <c r="E65" s="102"/>
      <c r="F65" s="87">
        <f>SUM(F66:F68)</f>
        <v>0</v>
      </c>
      <c r="G65" s="78"/>
      <c r="H65" s="144"/>
      <c r="I65" s="149"/>
      <c r="J65" s="149"/>
      <c r="K65" s="150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</row>
    <row r="66" spans="1:26" x14ac:dyDescent="0.2">
      <c r="A66" s="78"/>
      <c r="B66" s="107" t="s">
        <v>88</v>
      </c>
      <c r="C66" s="101"/>
      <c r="D66" s="101"/>
      <c r="E66" s="102">
        <f>SUMIF(Table4491423424[Category],"Emergency Fund",Table4491423424[Amount])</f>
        <v>0</v>
      </c>
      <c r="F66" s="84"/>
      <c r="G66" s="78"/>
      <c r="H66" s="144"/>
      <c r="I66" s="149"/>
      <c r="J66" s="149"/>
      <c r="K66" s="150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</row>
    <row r="67" spans="1:26" x14ac:dyDescent="0.2">
      <c r="A67" s="78"/>
      <c r="B67" s="107" t="s">
        <v>55</v>
      </c>
      <c r="C67" s="101"/>
      <c r="D67" s="101"/>
      <c r="E67" s="102">
        <f>SUMIF(Table4491423424[Category],"Retirement",Table4491423424[Amount])</f>
        <v>0</v>
      </c>
      <c r="F67" s="84"/>
      <c r="G67" s="78"/>
      <c r="H67" s="144"/>
      <c r="I67" s="149"/>
      <c r="J67" s="149"/>
      <c r="K67" s="150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</row>
    <row r="68" spans="1:26" ht="14.25" customHeight="1" x14ac:dyDescent="0.2">
      <c r="A68" s="78"/>
      <c r="B68" s="107" t="s">
        <v>53</v>
      </c>
      <c r="C68" s="101"/>
      <c r="D68" s="101"/>
      <c r="E68" s="102">
        <f>SUMIF(Table4491423424[Category],"Investment",Table4491423424[Amount])</f>
        <v>0</v>
      </c>
      <c r="F68" s="84"/>
      <c r="G68" s="78"/>
      <c r="H68" s="144"/>
      <c r="I68" s="149"/>
      <c r="J68" s="149"/>
      <c r="K68" s="150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</row>
    <row r="69" spans="1:26" x14ac:dyDescent="0.2">
      <c r="A69" s="78"/>
      <c r="B69" s="100"/>
      <c r="C69" s="101"/>
      <c r="D69" s="101"/>
      <c r="E69" s="102"/>
      <c r="F69" s="84"/>
      <c r="G69" s="78"/>
      <c r="H69" s="144"/>
      <c r="I69" s="149"/>
      <c r="J69" s="149"/>
      <c r="K69" s="150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</row>
    <row r="70" spans="1:26" x14ac:dyDescent="0.2">
      <c r="A70" s="78"/>
      <c r="B70" s="103" t="s">
        <v>86</v>
      </c>
      <c r="C70" s="104" t="e">
        <f>D71/(E81+E62)</f>
        <v>#DIV/0!</v>
      </c>
      <c r="D70" s="101"/>
      <c r="E70" s="102"/>
      <c r="F70" s="84"/>
      <c r="G70" s="78"/>
      <c r="H70" s="144"/>
      <c r="I70" s="149"/>
      <c r="J70" s="149"/>
      <c r="K70" s="150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</row>
    <row r="71" spans="1:26" x14ac:dyDescent="0.2">
      <c r="A71" s="52"/>
      <c r="B71" s="105" t="s">
        <v>95</v>
      </c>
      <c r="C71" s="108"/>
      <c r="D71" s="106">
        <f>SUM(E72:E73)</f>
        <v>0</v>
      </c>
      <c r="E71" s="109"/>
      <c r="F71" s="87">
        <f>SUM(F72:F73)</f>
        <v>0</v>
      </c>
      <c r="G71" s="78"/>
      <c r="H71" s="144"/>
      <c r="I71" s="149"/>
      <c r="J71" s="149"/>
      <c r="K71" s="150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</row>
    <row r="72" spans="1:26" x14ac:dyDescent="0.2">
      <c r="A72" s="78"/>
      <c r="B72" s="110" t="s">
        <v>43</v>
      </c>
      <c r="C72" s="101"/>
      <c r="D72" s="101"/>
      <c r="E72" s="102">
        <f>SUMIF(Table4491423424[Category],"Donations",Table4491423424[Amount])</f>
        <v>0</v>
      </c>
      <c r="F72" s="84"/>
      <c r="G72" s="78"/>
      <c r="H72" s="144"/>
      <c r="I72" s="149"/>
      <c r="J72" s="149"/>
      <c r="K72" s="150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</row>
    <row r="73" spans="1:26" x14ac:dyDescent="0.2">
      <c r="A73" s="78"/>
      <c r="B73" s="110" t="s">
        <v>90</v>
      </c>
      <c r="C73" s="101"/>
      <c r="D73" s="101"/>
      <c r="E73" s="102">
        <f>SUMIF(Table4491423424[Category],"Offering",Table4491423424[Amount])</f>
        <v>0</v>
      </c>
      <c r="F73" s="84"/>
      <c r="G73" s="78"/>
      <c r="H73" s="144"/>
      <c r="I73" s="149"/>
      <c r="J73" s="149"/>
      <c r="K73" s="150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</row>
    <row r="74" spans="1:26" x14ac:dyDescent="0.2">
      <c r="A74" s="78"/>
      <c r="B74" s="110"/>
      <c r="C74" s="101"/>
      <c r="D74" s="101"/>
      <c r="E74" s="102"/>
      <c r="F74" s="84"/>
      <c r="G74" s="78"/>
      <c r="H74" s="144"/>
      <c r="I74" s="149"/>
      <c r="J74" s="149"/>
      <c r="K74" s="150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</row>
    <row r="75" spans="1:26" x14ac:dyDescent="0.2">
      <c r="A75" s="78"/>
      <c r="B75" s="111" t="s">
        <v>89</v>
      </c>
      <c r="C75" s="104" t="e">
        <f>D76/(E81+E62)</f>
        <v>#DIV/0!</v>
      </c>
      <c r="D75" s="101"/>
      <c r="E75" s="102"/>
      <c r="F75" s="84"/>
      <c r="G75" s="78"/>
      <c r="H75" s="144"/>
      <c r="I75" s="149"/>
      <c r="J75" s="149"/>
      <c r="K75" s="150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</row>
    <row r="76" spans="1:26" x14ac:dyDescent="0.2">
      <c r="A76" s="78"/>
      <c r="B76" s="112" t="s">
        <v>104</v>
      </c>
      <c r="C76" s="101"/>
      <c r="D76" s="106">
        <f>SUM(E77:E79)</f>
        <v>0</v>
      </c>
      <c r="E76" s="102"/>
      <c r="F76" s="87">
        <f>SUM(F77:F79)</f>
        <v>0</v>
      </c>
      <c r="G76" s="78"/>
      <c r="H76" s="144"/>
      <c r="I76" s="149"/>
      <c r="J76" s="149"/>
      <c r="K76" s="150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</row>
    <row r="77" spans="1:26" x14ac:dyDescent="0.2">
      <c r="A77" s="78"/>
      <c r="B77" s="110" t="s">
        <v>92</v>
      </c>
      <c r="C77" s="101"/>
      <c r="D77" s="101"/>
      <c r="E77" s="102">
        <f>SUMIF(Table4491423424[Category],"Student Loan",Table4491423424[Amount])</f>
        <v>0</v>
      </c>
      <c r="F77" s="84"/>
      <c r="G77" s="78"/>
      <c r="H77" s="144"/>
      <c r="I77" s="149"/>
      <c r="J77" s="149"/>
      <c r="K77" s="150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</row>
    <row r="78" spans="1:26" x14ac:dyDescent="0.2">
      <c r="A78" s="78"/>
      <c r="B78" s="107" t="s">
        <v>91</v>
      </c>
      <c r="C78" s="101"/>
      <c r="D78" s="101"/>
      <c r="E78" s="102">
        <f>SUMIF(Table4491423424[Category],"Credit Card",Table4491423424[Amount])</f>
        <v>0</v>
      </c>
      <c r="F78" s="84"/>
      <c r="G78" s="78"/>
      <c r="H78" s="144"/>
      <c r="I78" s="149"/>
      <c r="J78" s="149"/>
      <c r="K78" s="150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</row>
    <row r="79" spans="1:26" x14ac:dyDescent="0.2">
      <c r="A79" s="78"/>
      <c r="B79" s="110" t="s">
        <v>93</v>
      </c>
      <c r="C79" s="101"/>
      <c r="D79" s="101"/>
      <c r="E79" s="102">
        <f>SUMIF(Table4491423424[Category],"Car",Table4491423424[Amount])</f>
        <v>0</v>
      </c>
      <c r="F79" s="84"/>
      <c r="G79" s="1"/>
      <c r="H79" s="144"/>
      <c r="I79" s="149"/>
      <c r="J79" s="149"/>
      <c r="K79" s="150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</row>
    <row r="80" spans="1:26" s="54" customFormat="1" x14ac:dyDescent="0.2">
      <c r="A80" s="78"/>
      <c r="B80" s="111"/>
      <c r="C80" s="101"/>
      <c r="D80" s="101"/>
      <c r="E80" s="102"/>
      <c r="F80" s="84"/>
      <c r="G80" s="53"/>
      <c r="H80" s="148"/>
      <c r="I80" s="151"/>
      <c r="J80" s="151"/>
      <c r="K80" s="1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spans="1:26" ht="16" thickBot="1" x14ac:dyDescent="0.25">
      <c r="A81" s="78"/>
      <c r="B81" s="113" t="s">
        <v>35</v>
      </c>
      <c r="C81" s="114"/>
      <c r="D81" s="114"/>
      <c r="E81" s="115">
        <f>SUM(D65,D76,D71)</f>
        <v>0</v>
      </c>
      <c r="F81" s="85">
        <f>SUM(F65,F71,F76)</f>
        <v>0</v>
      </c>
      <c r="G81" s="1"/>
      <c r="H81" s="153"/>
      <c r="I81" s="154"/>
      <c r="J81" s="154"/>
      <c r="K81" s="155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</row>
    <row r="82" spans="1:26" x14ac:dyDescent="0.2">
      <c r="A82" s="78"/>
      <c r="B82" s="78"/>
      <c r="C82" s="78"/>
      <c r="D82" s="78"/>
      <c r="E82" s="78"/>
      <c r="F82" s="78"/>
      <c r="G82" s="1"/>
      <c r="H82" s="1"/>
      <c r="I82" s="1"/>
      <c r="J82" s="1"/>
      <c r="K82" s="1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</row>
    <row r="83" spans="1:26" ht="16" thickBot="1" x14ac:dyDescent="0.25">
      <c r="A83" s="78"/>
      <c r="B83" s="78"/>
      <c r="C83" s="78"/>
      <c r="D83" s="78"/>
      <c r="E83" s="78"/>
      <c r="F83" s="78"/>
      <c r="G83" s="1"/>
      <c r="H83" s="1"/>
      <c r="I83" s="1"/>
      <c r="J83" s="1"/>
      <c r="K83" s="1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</row>
    <row r="84" spans="1:26" x14ac:dyDescent="0.2">
      <c r="A84" s="78"/>
      <c r="B84" s="195" t="str">
        <f>B30</f>
        <v>LIVING EXPENSES</v>
      </c>
      <c r="C84" s="196" t="e">
        <f>C30</f>
        <v>#DIV/0!</v>
      </c>
      <c r="D84" s="78"/>
      <c r="E84" s="78"/>
      <c r="F84" s="78"/>
      <c r="G84" s="78"/>
      <c r="H84" s="1"/>
      <c r="I84" s="1"/>
      <c r="J84" s="1"/>
      <c r="K84" s="1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</row>
    <row r="85" spans="1:26" x14ac:dyDescent="0.2">
      <c r="A85" s="78"/>
      <c r="B85" s="144" t="str">
        <f>B51</f>
        <v>INDULGENCE EXPENSES</v>
      </c>
      <c r="C85" s="197" t="e">
        <f>C51</f>
        <v>#DIV/0!</v>
      </c>
      <c r="D85" s="78"/>
      <c r="E85" s="78"/>
      <c r="F85" s="78"/>
      <c r="G85" s="78"/>
      <c r="H85" s="1"/>
      <c r="I85" s="1"/>
      <c r="J85" s="1"/>
      <c r="K85" s="1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</row>
    <row r="86" spans="1:26" x14ac:dyDescent="0.2">
      <c r="A86" s="78"/>
      <c r="B86" s="144" t="str">
        <f>B64</f>
        <v>SAVINGS</v>
      </c>
      <c r="C86" s="197" t="e">
        <f>C64</f>
        <v>#DIV/0!</v>
      </c>
      <c r="D86" s="78"/>
      <c r="E86" s="78"/>
      <c r="F86" s="78"/>
      <c r="G86" s="78"/>
      <c r="H86" s="1"/>
      <c r="I86" s="1"/>
      <c r="J86" s="1"/>
      <c r="K86" s="1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</row>
    <row r="87" spans="1:26" x14ac:dyDescent="0.2">
      <c r="A87" s="78"/>
      <c r="B87" s="144" t="str">
        <f>B70</f>
        <v>TITHINGS</v>
      </c>
      <c r="C87" s="197" t="e">
        <f>C70</f>
        <v>#DIV/0!</v>
      </c>
      <c r="D87" s="78"/>
      <c r="E87" s="78"/>
      <c r="F87" s="78"/>
      <c r="G87" s="78"/>
      <c r="H87" s="1"/>
      <c r="I87" s="1"/>
      <c r="J87" s="1"/>
      <c r="K87" s="1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</row>
    <row r="88" spans="1:26" ht="16" thickBot="1" x14ac:dyDescent="0.25">
      <c r="A88" s="78"/>
      <c r="B88" s="153" t="str">
        <f>B75</f>
        <v>DEBT REPAYMENT</v>
      </c>
      <c r="C88" s="198" t="e">
        <f>C75</f>
        <v>#DIV/0!</v>
      </c>
      <c r="D88" s="78"/>
      <c r="E88" s="78"/>
      <c r="F88" s="78"/>
      <c r="G88" s="78"/>
      <c r="H88" s="1"/>
      <c r="I88" s="1"/>
      <c r="J88" s="1"/>
      <c r="K88" s="1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</row>
    <row r="89" spans="1:26" x14ac:dyDescent="0.2">
      <c r="A89" s="78"/>
      <c r="B89" s="78"/>
      <c r="C89" s="78"/>
      <c r="D89" s="78"/>
      <c r="E89" s="78"/>
      <c r="F89" s="78"/>
      <c r="G89" s="78"/>
      <c r="H89" s="1"/>
      <c r="I89" s="1"/>
      <c r="J89" s="1"/>
      <c r="K89" s="1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</row>
    <row r="90" spans="1:26" x14ac:dyDescent="0.2">
      <c r="A90" s="78"/>
      <c r="B90" s="78"/>
      <c r="C90" s="78"/>
      <c r="D90" s="78"/>
      <c r="E90" s="78"/>
      <c r="F90" s="78"/>
      <c r="G90" s="78"/>
      <c r="H90" s="1"/>
      <c r="I90" s="1"/>
      <c r="J90" s="1"/>
      <c r="K90" s="1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</row>
    <row r="91" spans="1:26" x14ac:dyDescent="0.2">
      <c r="A91" s="78"/>
      <c r="B91" s="78"/>
      <c r="C91" s="78"/>
      <c r="D91" s="78"/>
      <c r="E91" s="78"/>
      <c r="F91" s="78"/>
      <c r="G91" s="78"/>
      <c r="H91" s="1"/>
      <c r="I91" s="1"/>
      <c r="J91" s="1"/>
      <c r="K91" s="1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</row>
    <row r="92" spans="1:26" x14ac:dyDescent="0.2">
      <c r="A92" s="78"/>
      <c r="B92" s="78"/>
      <c r="C92" s="78"/>
      <c r="D92" s="78"/>
      <c r="E92" s="78"/>
      <c r="F92" s="78"/>
      <c r="G92" s="78"/>
      <c r="H92" s="1"/>
      <c r="I92" s="1"/>
      <c r="J92" s="1"/>
      <c r="K92" s="1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</row>
    <row r="93" spans="1:26" x14ac:dyDescent="0.2">
      <c r="A93" s="78"/>
      <c r="B93" s="78"/>
      <c r="C93" s="78"/>
      <c r="D93" s="78"/>
      <c r="E93" s="78"/>
      <c r="F93" s="78"/>
      <c r="G93" s="78"/>
      <c r="H93" s="1"/>
      <c r="I93" s="1"/>
      <c r="J93" s="1"/>
      <c r="K93" s="1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</row>
    <row r="94" spans="1:26" x14ac:dyDescent="0.2">
      <c r="A94" s="78"/>
      <c r="B94" s="78"/>
      <c r="C94" s="78"/>
      <c r="D94" s="78"/>
      <c r="E94" s="78"/>
      <c r="F94" s="78"/>
      <c r="G94" s="78"/>
      <c r="H94" s="1"/>
      <c r="I94" s="1"/>
      <c r="J94" s="1"/>
      <c r="K94" s="1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</row>
    <row r="95" spans="1:26" x14ac:dyDescent="0.2">
      <c r="A95" s="78"/>
      <c r="B95" s="78"/>
      <c r="C95" s="78"/>
      <c r="D95" s="78"/>
      <c r="E95" s="78"/>
      <c r="F95" s="78"/>
      <c r="G95" s="78"/>
      <c r="H95" s="1"/>
      <c r="I95" s="1"/>
      <c r="J95" s="1"/>
      <c r="K95" s="1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</row>
    <row r="96" spans="1:26" x14ac:dyDescent="0.2">
      <c r="A96" s="78"/>
      <c r="B96" s="78"/>
      <c r="C96" s="78"/>
      <c r="D96" s="78"/>
      <c r="E96" s="78"/>
      <c r="F96" s="78"/>
      <c r="G96" s="1"/>
      <c r="H96" s="1"/>
      <c r="I96" s="1"/>
      <c r="J96" s="1"/>
      <c r="K96" s="1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</row>
    <row r="97" spans="1:26" x14ac:dyDescent="0.2">
      <c r="A97" s="78"/>
      <c r="B97" s="78"/>
      <c r="C97" s="78"/>
      <c r="D97" s="78"/>
      <c r="E97" s="78"/>
      <c r="F97" s="78"/>
      <c r="G97" s="1"/>
      <c r="H97" s="1"/>
      <c r="I97" s="1"/>
      <c r="J97" s="1"/>
      <c r="K97" s="1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</row>
    <row r="98" spans="1:26" x14ac:dyDescent="0.2">
      <c r="A98" s="78"/>
      <c r="B98" s="78"/>
      <c r="C98" s="78"/>
      <c r="D98" s="78"/>
      <c r="E98" s="78"/>
      <c r="F98" s="78"/>
      <c r="G98" s="1"/>
      <c r="H98" s="1"/>
      <c r="I98" s="1"/>
      <c r="J98" s="1"/>
      <c r="K98" s="1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</row>
    <row r="99" spans="1:26" x14ac:dyDescent="0.2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</row>
    <row r="100" spans="1:26" x14ac:dyDescent="0.2">
      <c r="A100" s="78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</row>
    <row r="101" spans="1:26" x14ac:dyDescent="0.2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</row>
    <row r="102" spans="1:26" x14ac:dyDescent="0.2">
      <c r="A102" s="78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</row>
    <row r="103" spans="1:26" x14ac:dyDescent="0.2">
      <c r="A103" s="78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</row>
    <row r="104" spans="1:26" x14ac:dyDescent="0.2">
      <c r="A104" s="78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</row>
    <row r="105" spans="1:26" x14ac:dyDescent="0.2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</row>
    <row r="106" spans="1:26" x14ac:dyDescent="0.2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</row>
    <row r="107" spans="1:26" x14ac:dyDescent="0.2">
      <c r="A107" s="78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</row>
    <row r="108" spans="1:26" x14ac:dyDescent="0.2">
      <c r="A108" s="78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</row>
  </sheetData>
  <mergeCells count="11">
    <mergeCell ref="D9:E9"/>
    <mergeCell ref="B2:I2"/>
    <mergeCell ref="B6:C6"/>
    <mergeCell ref="D6:F6"/>
    <mergeCell ref="D7:E7"/>
    <mergeCell ref="D8:E8"/>
    <mergeCell ref="D10:E10"/>
    <mergeCell ref="D12:E12"/>
    <mergeCell ref="D13:E13"/>
    <mergeCell ref="B15:F15"/>
    <mergeCell ref="H20:K20"/>
  </mergeCells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3D7ED-6FCC-4E18-97CE-F2F60C86A785}">
  <dimension ref="A1:Z108"/>
  <sheetViews>
    <sheetView workbookViewId="0"/>
  </sheetViews>
  <sheetFormatPr baseColWidth="10" defaultColWidth="9.1640625" defaultRowHeight="15" x14ac:dyDescent="0.2"/>
  <cols>
    <col min="1" max="1" width="10.6640625" style="75" customWidth="1"/>
    <col min="2" max="2" width="21.1640625" style="75" customWidth="1"/>
    <col min="3" max="6" width="10.6640625" style="75" customWidth="1"/>
    <col min="7" max="7" width="11" style="75" customWidth="1"/>
    <col min="8" max="8" width="12.6640625" style="75" customWidth="1"/>
    <col min="9" max="9" width="31.5" style="75" customWidth="1"/>
    <col min="10" max="10" width="15.6640625" style="75" customWidth="1"/>
    <col min="11" max="11" width="11.6640625" style="75" customWidth="1"/>
    <col min="12" max="13" width="9.1640625" style="75"/>
    <col min="14" max="19" width="10.6640625" style="75" customWidth="1"/>
    <col min="20" max="16384" width="9.1640625" style="75"/>
  </cols>
  <sheetData>
    <row r="1" spans="1:26" ht="16" thickBo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ht="20" thickBot="1" x14ac:dyDescent="0.3">
      <c r="A2" s="78"/>
      <c r="B2" s="214" t="s">
        <v>197</v>
      </c>
      <c r="C2" s="215"/>
      <c r="D2" s="215"/>
      <c r="E2" s="215"/>
      <c r="F2" s="215"/>
      <c r="G2" s="215"/>
      <c r="H2" s="215"/>
      <c r="I2" s="216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26" x14ac:dyDescent="0.2">
      <c r="A3" s="78"/>
      <c r="B3" s="140" t="s">
        <v>59</v>
      </c>
      <c r="C3" s="141" t="s">
        <v>20</v>
      </c>
      <c r="D3" s="141" t="s">
        <v>52</v>
      </c>
      <c r="E3" s="141" t="s">
        <v>12</v>
      </c>
      <c r="F3" s="142" t="s">
        <v>54</v>
      </c>
      <c r="G3" s="142" t="s">
        <v>14</v>
      </c>
      <c r="H3" s="142" t="s">
        <v>60</v>
      </c>
      <c r="I3" s="143" t="s">
        <v>55</v>
      </c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26" ht="16" thickBot="1" x14ac:dyDescent="0.25">
      <c r="A4" s="78"/>
      <c r="B4" s="95">
        <v>0</v>
      </c>
      <c r="C4" s="96">
        <v>0</v>
      </c>
      <c r="D4" s="96">
        <v>0</v>
      </c>
      <c r="E4" s="96">
        <v>0</v>
      </c>
      <c r="F4" s="97">
        <v>0</v>
      </c>
      <c r="G4" s="98">
        <v>0</v>
      </c>
      <c r="H4" s="98">
        <v>0</v>
      </c>
      <c r="I4" s="99">
        <v>0</v>
      </c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26" ht="16" thickBot="1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spans="1:26" ht="19" x14ac:dyDescent="0.25">
      <c r="A6" s="78"/>
      <c r="B6" s="217" t="s">
        <v>198</v>
      </c>
      <c r="C6" s="218"/>
      <c r="D6" s="219" t="s">
        <v>199</v>
      </c>
      <c r="E6" s="220"/>
      <c r="F6" s="221"/>
      <c r="G6" s="78"/>
      <c r="H6" s="1"/>
      <c r="I6" s="1"/>
      <c r="J6" s="1"/>
      <c r="K6" s="1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pans="1:26" x14ac:dyDescent="0.2">
      <c r="A7" s="78"/>
      <c r="B7" s="117" t="s">
        <v>2</v>
      </c>
      <c r="C7" s="118">
        <v>0</v>
      </c>
      <c r="D7" s="222" t="str">
        <f t="shared" ref="D7:D13" si="0">B7</f>
        <v>Income</v>
      </c>
      <c r="E7" s="223"/>
      <c r="F7" s="119">
        <f>F27</f>
        <v>0</v>
      </c>
      <c r="G7" s="78"/>
      <c r="H7" s="1"/>
      <c r="I7" s="1"/>
      <c r="J7" s="1"/>
      <c r="K7" s="1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</row>
    <row r="8" spans="1:26" x14ac:dyDescent="0.2">
      <c r="A8" s="78"/>
      <c r="B8" s="120" t="s">
        <v>12</v>
      </c>
      <c r="C8" s="121">
        <f>SUM(F66:F68)</f>
        <v>0</v>
      </c>
      <c r="D8" s="228" t="str">
        <f t="shared" si="0"/>
        <v>Savings</v>
      </c>
      <c r="E8" s="229"/>
      <c r="F8" s="122">
        <f>D65</f>
        <v>0</v>
      </c>
      <c r="G8" s="78"/>
      <c r="H8" s="1"/>
      <c r="I8" s="1"/>
      <c r="J8" s="1"/>
      <c r="K8" s="1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</row>
    <row r="9" spans="1:26" x14ac:dyDescent="0.2">
      <c r="A9" s="78"/>
      <c r="B9" s="123" t="s">
        <v>120</v>
      </c>
      <c r="C9" s="124">
        <f>SUM(F72:F73)</f>
        <v>0</v>
      </c>
      <c r="D9" s="232" t="str">
        <f t="shared" si="0"/>
        <v>Tithing</v>
      </c>
      <c r="E9" s="232"/>
      <c r="F9" s="125">
        <f>D71</f>
        <v>0</v>
      </c>
      <c r="G9" s="78"/>
      <c r="H9" s="1"/>
      <c r="I9" s="1"/>
      <c r="J9" s="1"/>
      <c r="K9" s="1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</row>
    <row r="10" spans="1:26" x14ac:dyDescent="0.2">
      <c r="A10" s="78"/>
      <c r="B10" s="126" t="s">
        <v>14</v>
      </c>
      <c r="C10" s="127">
        <f>SUM(F77:F79)</f>
        <v>0</v>
      </c>
      <c r="D10" s="230" t="str">
        <f t="shared" si="0"/>
        <v>Debt</v>
      </c>
      <c r="E10" s="231"/>
      <c r="F10" s="128">
        <f>D76</f>
        <v>0</v>
      </c>
      <c r="G10" s="78"/>
      <c r="H10" s="1"/>
      <c r="I10" s="1"/>
      <c r="J10" s="1"/>
      <c r="K10" s="1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</row>
    <row r="11" spans="1:26" x14ac:dyDescent="0.2">
      <c r="A11" s="78"/>
      <c r="B11" s="129" t="s">
        <v>124</v>
      </c>
      <c r="C11" s="130">
        <f>C7-C8-C9-C10</f>
        <v>0</v>
      </c>
      <c r="D11" s="131" t="str">
        <f t="shared" si="0"/>
        <v>Budgeted</v>
      </c>
      <c r="E11" s="132"/>
      <c r="F11" s="133">
        <f>F7-F8-F9-F10</f>
        <v>0</v>
      </c>
      <c r="G11" s="78"/>
      <c r="H11" s="1"/>
      <c r="I11" s="1"/>
      <c r="J11" s="1"/>
      <c r="K11" s="1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</row>
    <row r="12" spans="1:26" x14ac:dyDescent="0.2">
      <c r="A12" s="78"/>
      <c r="B12" s="134" t="s">
        <v>0</v>
      </c>
      <c r="C12" s="135">
        <f>F62</f>
        <v>0</v>
      </c>
      <c r="D12" s="224" t="str">
        <f t="shared" si="0"/>
        <v>Expenses</v>
      </c>
      <c r="E12" s="225"/>
      <c r="F12" s="136">
        <f>E62</f>
        <v>0</v>
      </c>
      <c r="G12" s="78"/>
      <c r="H12" s="1"/>
      <c r="I12" s="1"/>
      <c r="J12" s="1"/>
      <c r="K12" s="1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</row>
    <row r="13" spans="1:26" ht="16" thickBot="1" x14ac:dyDescent="0.25">
      <c r="A13" s="78"/>
      <c r="B13" s="137" t="s">
        <v>123</v>
      </c>
      <c r="C13" s="138">
        <f>C11-C12</f>
        <v>0</v>
      </c>
      <c r="D13" s="226" t="str">
        <f t="shared" si="0"/>
        <v>Remaining</v>
      </c>
      <c r="E13" s="227"/>
      <c r="F13" s="139">
        <f>F11-F12</f>
        <v>0</v>
      </c>
      <c r="G13" s="78"/>
      <c r="H13" s="1"/>
      <c r="I13" s="1"/>
      <c r="J13" s="1"/>
      <c r="K13" s="1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</row>
    <row r="14" spans="1:26" ht="16" thickBot="1" x14ac:dyDescent="0.25">
      <c r="A14" s="78"/>
      <c r="B14" s="78"/>
      <c r="C14" s="78"/>
      <c r="D14" s="78"/>
      <c r="E14" s="78"/>
      <c r="F14" s="78"/>
      <c r="G14" s="78"/>
      <c r="H14" s="1"/>
      <c r="I14" s="1"/>
      <c r="J14" s="1"/>
      <c r="K14" s="1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</row>
    <row r="15" spans="1:26" ht="20" thickBot="1" x14ac:dyDescent="0.3">
      <c r="A15" s="78"/>
      <c r="B15" s="214" t="s">
        <v>200</v>
      </c>
      <c r="C15" s="215"/>
      <c r="D15" s="215"/>
      <c r="E15" s="215"/>
      <c r="F15" s="216"/>
      <c r="G15" s="78"/>
      <c r="H15" s="1"/>
      <c r="I15" s="1"/>
      <c r="J15" s="1"/>
      <c r="K15" s="1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</row>
    <row r="16" spans="1:26" ht="17" thickBot="1" x14ac:dyDescent="0.25">
      <c r="A16" s="78"/>
      <c r="B16" s="63" t="s">
        <v>2</v>
      </c>
      <c r="C16" s="64"/>
      <c r="D16" s="65"/>
      <c r="E16" s="65"/>
      <c r="F16" s="66"/>
      <c r="G16" s="78"/>
      <c r="H16" s="1"/>
      <c r="I16" s="1"/>
      <c r="J16" s="1"/>
      <c r="K16" s="1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</row>
    <row r="17" spans="1:26" x14ac:dyDescent="0.2">
      <c r="A17" s="78"/>
      <c r="B17" s="4"/>
      <c r="C17" s="2"/>
      <c r="D17" s="2"/>
      <c r="E17" s="2"/>
      <c r="F17" s="62"/>
      <c r="G17" s="78"/>
      <c r="H17" s="1"/>
      <c r="I17" s="1"/>
      <c r="J17" s="1"/>
      <c r="K17" s="1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</row>
    <row r="18" spans="1:26" x14ac:dyDescent="0.2">
      <c r="A18" s="78"/>
      <c r="B18" s="4"/>
      <c r="C18" s="2"/>
      <c r="D18" s="2"/>
      <c r="E18" s="2"/>
      <c r="F18" s="55"/>
      <c r="G18" s="78"/>
      <c r="H18" s="1"/>
      <c r="I18" s="1"/>
      <c r="J18" s="1"/>
      <c r="K18" s="1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</row>
    <row r="19" spans="1:26" ht="16" thickBot="1" x14ac:dyDescent="0.25">
      <c r="A19" s="78"/>
      <c r="B19" s="4"/>
      <c r="C19" s="2"/>
      <c r="D19" s="2"/>
      <c r="E19" s="2"/>
      <c r="F19" s="55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</row>
    <row r="20" spans="1:26" ht="20" thickBot="1" x14ac:dyDescent="0.3">
      <c r="A20" s="78"/>
      <c r="B20" s="4"/>
      <c r="C20" s="2"/>
      <c r="D20" s="2"/>
      <c r="E20" s="2"/>
      <c r="F20" s="55"/>
      <c r="G20" s="78"/>
      <c r="H20" s="214" t="s">
        <v>201</v>
      </c>
      <c r="I20" s="215"/>
      <c r="J20" s="215"/>
      <c r="K20" s="216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</row>
    <row r="21" spans="1:26" x14ac:dyDescent="0.2">
      <c r="A21" s="78"/>
      <c r="B21" s="4"/>
      <c r="C21" s="2"/>
      <c r="D21" s="2"/>
      <c r="E21" s="2"/>
      <c r="F21" s="55"/>
      <c r="G21" s="78"/>
      <c r="H21" s="76" t="s">
        <v>5</v>
      </c>
      <c r="I21" s="76" t="s">
        <v>7</v>
      </c>
      <c r="J21" s="76" t="s">
        <v>8</v>
      </c>
      <c r="K21" s="77" t="s">
        <v>6</v>
      </c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</row>
    <row r="22" spans="1:26" x14ac:dyDescent="0.2">
      <c r="A22" s="78"/>
      <c r="B22" s="4"/>
      <c r="C22" s="2"/>
      <c r="D22" s="2"/>
      <c r="E22" s="2"/>
      <c r="F22" s="55"/>
      <c r="G22" s="78"/>
      <c r="H22" s="79"/>
      <c r="I22" s="76"/>
      <c r="J22" s="76"/>
      <c r="K22" s="77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</row>
    <row r="23" spans="1:26" x14ac:dyDescent="0.2">
      <c r="A23" s="78"/>
      <c r="B23" s="4"/>
      <c r="C23" s="2"/>
      <c r="D23" s="2"/>
      <c r="E23" s="2"/>
      <c r="F23" s="55"/>
      <c r="G23" s="78"/>
      <c r="H23" s="79"/>
      <c r="I23" s="76"/>
      <c r="J23" s="76"/>
      <c r="K23" s="77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</row>
    <row r="24" spans="1:26" x14ac:dyDescent="0.2">
      <c r="A24" s="78"/>
      <c r="B24" s="4"/>
      <c r="C24" s="2"/>
      <c r="D24" s="2"/>
      <c r="E24" s="2"/>
      <c r="F24" s="55"/>
      <c r="G24" s="78"/>
      <c r="H24" s="79"/>
      <c r="I24" s="76"/>
      <c r="J24" s="76"/>
      <c r="K24" s="77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</row>
    <row r="25" spans="1:26" x14ac:dyDescent="0.2">
      <c r="A25" s="78"/>
      <c r="B25" s="4"/>
      <c r="C25" s="2"/>
      <c r="D25" s="2"/>
      <c r="E25" s="2"/>
      <c r="F25" s="55"/>
      <c r="G25" s="78"/>
      <c r="H25" s="79"/>
      <c r="I25" s="76"/>
      <c r="J25" s="76"/>
      <c r="K25" s="77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</row>
    <row r="26" spans="1:26" x14ac:dyDescent="0.2">
      <c r="A26" s="78"/>
      <c r="B26" s="5"/>
      <c r="C26" s="2"/>
      <c r="D26" s="2"/>
      <c r="E26" s="2"/>
      <c r="F26" s="56"/>
      <c r="G26" s="78"/>
      <c r="H26" s="79"/>
      <c r="I26" s="76"/>
      <c r="J26" s="76"/>
      <c r="K26" s="77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</row>
    <row r="27" spans="1:26" s="41" customFormat="1" ht="16" thickBot="1" x14ac:dyDescent="0.25">
      <c r="A27" s="78"/>
      <c r="B27" s="6" t="s">
        <v>3</v>
      </c>
      <c r="C27" s="7"/>
      <c r="D27" s="58"/>
      <c r="E27" s="58"/>
      <c r="F27" s="57">
        <f>SUM(F17:F26)</f>
        <v>0</v>
      </c>
      <c r="G27" s="78"/>
      <c r="H27" s="79"/>
      <c r="I27" s="76"/>
      <c r="J27" s="76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</row>
    <row r="28" spans="1:26" ht="16" thickBot="1" x14ac:dyDescent="0.25">
      <c r="A28" s="78"/>
      <c r="B28" s="59"/>
      <c r="C28" s="60"/>
      <c r="D28" s="60"/>
      <c r="E28" s="60"/>
      <c r="F28" s="61"/>
      <c r="G28" s="78"/>
      <c r="H28" s="79"/>
      <c r="I28" s="76"/>
      <c r="J28" s="76"/>
      <c r="K28" s="77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</row>
    <row r="29" spans="1:26" ht="17" thickBot="1" x14ac:dyDescent="0.25">
      <c r="A29" s="78"/>
      <c r="B29" s="51" t="s">
        <v>0</v>
      </c>
      <c r="C29" s="49"/>
      <c r="D29" s="49"/>
      <c r="E29" s="49"/>
      <c r="F29" s="68" t="s">
        <v>1</v>
      </c>
      <c r="G29" s="78"/>
      <c r="H29" s="79"/>
      <c r="I29" s="76"/>
      <c r="J29" s="76"/>
      <c r="K29" s="77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</row>
    <row r="30" spans="1:26" x14ac:dyDescent="0.2">
      <c r="A30" s="78"/>
      <c r="B30" s="67" t="s">
        <v>87</v>
      </c>
      <c r="C30" s="72" t="e">
        <f>(D31+D34+D40+D46)/(E81+E62)</f>
        <v>#DIV/0!</v>
      </c>
      <c r="D30" s="71"/>
      <c r="E30" s="89"/>
      <c r="F30" s="91"/>
      <c r="G30" s="78"/>
      <c r="H30" s="79"/>
      <c r="I30" s="76"/>
      <c r="J30" s="76"/>
      <c r="K30" s="77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</row>
    <row r="31" spans="1:26" x14ac:dyDescent="0.2">
      <c r="A31" s="78"/>
      <c r="B31" s="81" t="s">
        <v>37</v>
      </c>
      <c r="C31" s="3"/>
      <c r="D31" s="92">
        <f>SUM(E32:E33)</f>
        <v>0</v>
      </c>
      <c r="E31" s="3"/>
      <c r="F31" s="87">
        <f>SUM(F32:F33)</f>
        <v>0</v>
      </c>
      <c r="G31" s="78"/>
      <c r="H31" s="79"/>
      <c r="I31" s="76"/>
      <c r="J31" s="76"/>
      <c r="K31" s="77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</row>
    <row r="32" spans="1:26" x14ac:dyDescent="0.2">
      <c r="A32" s="78"/>
      <c r="B32" s="46" t="s">
        <v>62</v>
      </c>
      <c r="C32" s="3"/>
      <c r="D32" s="3"/>
      <c r="E32" s="3">
        <f>SUMIF(Table4491423425[Category],"Rent",Table4491423425[Amount])</f>
        <v>0</v>
      </c>
      <c r="F32" s="84"/>
      <c r="G32" s="78"/>
      <c r="H32" s="79"/>
      <c r="I32" s="76"/>
      <c r="J32" s="76"/>
      <c r="K32" s="77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</row>
    <row r="33" spans="1:26" x14ac:dyDescent="0.2">
      <c r="A33" s="78"/>
      <c r="B33" s="46" t="s">
        <v>38</v>
      </c>
      <c r="C33" s="3"/>
      <c r="D33" s="3"/>
      <c r="E33" s="3">
        <f>SUMIF(Table4491423425[Category],"Utilities",Table4491423425[Amount])</f>
        <v>0</v>
      </c>
      <c r="F33" s="84"/>
      <c r="G33" s="78"/>
      <c r="H33" s="79"/>
      <c r="I33" s="76"/>
      <c r="J33" s="76"/>
      <c r="K33" s="77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</row>
    <row r="34" spans="1:26" x14ac:dyDescent="0.2">
      <c r="A34" s="78"/>
      <c r="B34" s="47" t="s">
        <v>39</v>
      </c>
      <c r="C34" s="3"/>
      <c r="D34" s="92">
        <f>SUM(E35:E39)</f>
        <v>0</v>
      </c>
      <c r="E34" s="3"/>
      <c r="F34" s="87">
        <f>SUM(F35:F39)</f>
        <v>0</v>
      </c>
      <c r="G34" s="78"/>
      <c r="H34" s="79"/>
      <c r="I34" s="76"/>
      <c r="J34" s="76"/>
      <c r="K34" s="77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</row>
    <row r="35" spans="1:26" ht="15.75" customHeight="1" x14ac:dyDescent="0.2">
      <c r="A35" s="78"/>
      <c r="B35" s="46" t="s">
        <v>82</v>
      </c>
      <c r="C35" s="3"/>
      <c r="D35" s="3"/>
      <c r="E35" s="3">
        <f>SUMIF(Table4491423425[Category],"Restaurants",Table4491423425[Amount])</f>
        <v>0</v>
      </c>
      <c r="F35" s="84"/>
      <c r="G35" s="78"/>
      <c r="H35" s="79"/>
      <c r="I35" s="76"/>
      <c r="J35" s="76"/>
      <c r="K35" s="77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</row>
    <row r="36" spans="1:26" ht="14.25" customHeight="1" x14ac:dyDescent="0.2">
      <c r="A36" s="78"/>
      <c r="B36" s="46" t="s">
        <v>63</v>
      </c>
      <c r="C36" s="3"/>
      <c r="D36" s="3"/>
      <c r="E36" s="3">
        <f>SUMIF(Table4491423425[Category],"Fast Food",Table4491423425[Amount])</f>
        <v>0</v>
      </c>
      <c r="F36" s="84"/>
      <c r="G36" s="78"/>
      <c r="H36" s="79"/>
      <c r="I36" s="76"/>
      <c r="J36" s="76"/>
      <c r="K36" s="77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</row>
    <row r="37" spans="1:26" x14ac:dyDescent="0.2">
      <c r="A37" s="78"/>
      <c r="B37" s="46" t="s">
        <v>64</v>
      </c>
      <c r="C37" s="3"/>
      <c r="D37" s="3"/>
      <c r="E37" s="3">
        <f>SUMIF(Table4491423425[Category],"Groceries",Table4491423425[Amount])</f>
        <v>0</v>
      </c>
      <c r="F37" s="84"/>
      <c r="G37" s="78"/>
      <c r="H37" s="79"/>
      <c r="I37" s="76"/>
      <c r="J37" s="76"/>
      <c r="K37" s="77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</row>
    <row r="38" spans="1:26" x14ac:dyDescent="0.2">
      <c r="A38" s="78"/>
      <c r="B38" s="46" t="s">
        <v>65</v>
      </c>
      <c r="C38" s="3"/>
      <c r="D38" s="3"/>
      <c r="E38" s="3">
        <f>SUMIF(Table4491423425[Category],"Coffee",Table4491423425[Amount])</f>
        <v>0</v>
      </c>
      <c r="F38" s="84"/>
      <c r="G38" s="78"/>
      <c r="H38" s="79"/>
      <c r="I38" s="76"/>
      <c r="J38" s="76"/>
      <c r="K38" s="77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</row>
    <row r="39" spans="1:26" x14ac:dyDescent="0.2">
      <c r="A39" s="78"/>
      <c r="B39" s="46" t="s">
        <v>66</v>
      </c>
      <c r="C39" s="3"/>
      <c r="D39" s="3"/>
      <c r="E39" s="3">
        <f>SUMIF(Table4491423425[Category],"Bars",Table4491423425[Amount])</f>
        <v>0</v>
      </c>
      <c r="F39" s="84"/>
      <c r="G39" s="78"/>
      <c r="H39" s="79"/>
      <c r="I39" s="76"/>
      <c r="J39" s="76"/>
      <c r="K39" s="77"/>
      <c r="L39" s="78"/>
      <c r="M39" s="78"/>
      <c r="N39" s="37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spans="1:26" x14ac:dyDescent="0.2">
      <c r="A40" s="78"/>
      <c r="B40" s="48" t="s">
        <v>67</v>
      </c>
      <c r="C40" s="44"/>
      <c r="D40" s="93">
        <f>SUM(E41:E45)</f>
        <v>0</v>
      </c>
      <c r="E40" s="3"/>
      <c r="F40" s="88">
        <f>SUM(F41:F45)</f>
        <v>0</v>
      </c>
      <c r="G40" s="78"/>
      <c r="H40" s="79"/>
      <c r="I40" s="76"/>
      <c r="J40" s="76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spans="1:26" x14ac:dyDescent="0.2">
      <c r="A41" s="1"/>
      <c r="B41" s="46" t="s">
        <v>42</v>
      </c>
      <c r="C41" s="3"/>
      <c r="D41" s="3"/>
      <c r="E41" s="3">
        <f>SUMIF(Table4491423425[Category],"Gas",Table4491423425[Amount])</f>
        <v>0</v>
      </c>
      <c r="F41" s="84"/>
      <c r="G41" s="78"/>
      <c r="H41" s="79"/>
      <c r="I41" s="76"/>
      <c r="K41" s="77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</row>
    <row r="42" spans="1:26" x14ac:dyDescent="0.2">
      <c r="A42" s="1"/>
      <c r="B42" s="46" t="s">
        <v>68</v>
      </c>
      <c r="C42" s="116"/>
      <c r="D42" s="116"/>
      <c r="E42" s="3">
        <f>SUMIF(Table4491423425[Category],"Insurance",Table4491423425[Amount])</f>
        <v>0</v>
      </c>
      <c r="F42" s="84"/>
      <c r="G42" s="78"/>
      <c r="H42" s="79"/>
      <c r="J42" s="76"/>
      <c r="K42" s="77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</row>
    <row r="43" spans="1:26" x14ac:dyDescent="0.2">
      <c r="A43" s="18"/>
      <c r="B43" s="46" t="s">
        <v>83</v>
      </c>
      <c r="C43" s="116"/>
      <c r="D43" s="116"/>
      <c r="E43" s="3">
        <f>SUMIF(Table4491423425[Category],"Maintenance",Table4491423425[Amount])</f>
        <v>0</v>
      </c>
      <c r="F43" s="84"/>
      <c r="G43" s="78"/>
      <c r="H43" s="79"/>
      <c r="I43" s="76"/>
      <c r="J43" s="76"/>
      <c r="K43" s="77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</row>
    <row r="44" spans="1:26" x14ac:dyDescent="0.2">
      <c r="A44" s="43"/>
      <c r="B44" s="46" t="s">
        <v>69</v>
      </c>
      <c r="C44" s="116"/>
      <c r="D44" s="116"/>
      <c r="E44" s="3">
        <f>SUMIF(Table4491423425[Category],"Parking",Table4491423425[Amount])</f>
        <v>0</v>
      </c>
      <c r="F44" s="84"/>
      <c r="G44" s="78"/>
      <c r="H44" s="79"/>
      <c r="I44" s="76"/>
      <c r="J44" s="76"/>
      <c r="K44" s="77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</row>
    <row r="45" spans="1:26" x14ac:dyDescent="0.2">
      <c r="A45" s="78"/>
      <c r="B45" s="46" t="s">
        <v>40</v>
      </c>
      <c r="C45" s="116"/>
      <c r="D45" s="116"/>
      <c r="E45" s="3">
        <f>SUMIF(Table4491423425[Category],"Uber",Table4491423425[Amount])</f>
        <v>0</v>
      </c>
      <c r="F45" s="84"/>
      <c r="G45" s="78"/>
      <c r="H45" s="79"/>
      <c r="I45" s="76"/>
      <c r="J45" s="76"/>
      <c r="K45" s="77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</row>
    <row r="46" spans="1:26" x14ac:dyDescent="0.2">
      <c r="A46" s="1"/>
      <c r="B46" s="81" t="s">
        <v>70</v>
      </c>
      <c r="C46" s="116"/>
      <c r="D46" s="94">
        <f>SUM(E47:E48)</f>
        <v>0</v>
      </c>
      <c r="E46" s="3"/>
      <c r="F46" s="87">
        <f>SUM(F47:F48)</f>
        <v>0</v>
      </c>
      <c r="G46" s="78"/>
      <c r="H46" s="79"/>
      <c r="I46" s="76"/>
      <c r="J46" s="76"/>
      <c r="K46" s="77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</row>
    <row r="47" spans="1:26" x14ac:dyDescent="0.2">
      <c r="A47" s="1"/>
      <c r="B47" s="46" t="s">
        <v>44</v>
      </c>
      <c r="C47" s="116"/>
      <c r="D47" s="116"/>
      <c r="E47" s="3">
        <f>SUMIF(Table4491423425[Category],"Tuition",Table4491423425[Amount])</f>
        <v>0</v>
      </c>
      <c r="F47" s="84"/>
      <c r="G47" s="78"/>
      <c r="H47" s="79"/>
      <c r="I47" s="76"/>
      <c r="J47" s="76"/>
      <c r="K47" s="77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</row>
    <row r="48" spans="1:26" x14ac:dyDescent="0.2">
      <c r="A48" s="1"/>
      <c r="B48" s="46" t="s">
        <v>71</v>
      </c>
      <c r="C48" s="116"/>
      <c r="D48" s="116"/>
      <c r="E48" s="3">
        <f>SUMIF(Table4491423425[Category],"Books",Table4491423425[Amount])</f>
        <v>0</v>
      </c>
      <c r="F48" s="84"/>
      <c r="G48" s="78"/>
      <c r="H48" s="79"/>
      <c r="I48" s="76"/>
      <c r="J48" s="76"/>
      <c r="K48" s="77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</row>
    <row r="49" spans="1:26" x14ac:dyDescent="0.2">
      <c r="A49" s="1"/>
      <c r="B49" s="46"/>
      <c r="C49" s="116"/>
      <c r="D49" s="116"/>
      <c r="E49" s="3"/>
      <c r="F49" s="84"/>
      <c r="G49" s="78"/>
      <c r="H49" s="79"/>
      <c r="I49" s="76"/>
      <c r="J49" s="76"/>
      <c r="K49" s="77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</row>
    <row r="50" spans="1:26" x14ac:dyDescent="0.2">
      <c r="A50" s="1"/>
      <c r="B50" s="46"/>
      <c r="C50" s="116"/>
      <c r="D50" s="116"/>
      <c r="E50" s="3"/>
      <c r="F50" s="84"/>
      <c r="G50" s="78"/>
      <c r="H50" s="79"/>
      <c r="I50" s="76"/>
      <c r="J50" s="76"/>
      <c r="K50" s="77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</row>
    <row r="51" spans="1:26" x14ac:dyDescent="0.2">
      <c r="A51" s="1"/>
      <c r="B51" s="50" t="s">
        <v>121</v>
      </c>
      <c r="C51" s="73" t="e">
        <f>(D52+D55+D60)/(E81+E62)</f>
        <v>#DIV/0!</v>
      </c>
      <c r="D51" s="116"/>
      <c r="E51" s="3"/>
      <c r="F51" s="84"/>
      <c r="G51" s="78"/>
      <c r="H51" s="79"/>
      <c r="I51" s="76"/>
      <c r="J51" s="76"/>
      <c r="K51" s="77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</row>
    <row r="52" spans="1:26" x14ac:dyDescent="0.2">
      <c r="A52" s="1"/>
      <c r="B52" s="81" t="s">
        <v>41</v>
      </c>
      <c r="C52" s="116"/>
      <c r="D52" s="94">
        <f>SUM(E53:E54)</f>
        <v>0</v>
      </c>
      <c r="E52" s="3"/>
      <c r="F52" s="87">
        <f>SUM(F53:F54)</f>
        <v>0</v>
      </c>
      <c r="G52" s="78"/>
      <c r="H52" s="79"/>
      <c r="I52" s="76"/>
      <c r="J52" s="76"/>
      <c r="K52" s="77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</row>
    <row r="53" spans="1:26" x14ac:dyDescent="0.2">
      <c r="A53" s="1"/>
      <c r="B53" s="46" t="s">
        <v>72</v>
      </c>
      <c r="C53" s="116"/>
      <c r="D53" s="116"/>
      <c r="E53" s="3">
        <f>SUMIF(Table4491423425[Category],"Subscription",Table4491423425[Amount])</f>
        <v>0</v>
      </c>
      <c r="F53" s="84"/>
      <c r="G53" s="78"/>
      <c r="H53" s="79"/>
      <c r="I53" s="76"/>
      <c r="J53" s="76"/>
      <c r="K53" s="77"/>
      <c r="L53" s="78"/>
      <c r="M53" s="86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</row>
    <row r="54" spans="1:26" x14ac:dyDescent="0.2">
      <c r="A54" s="1"/>
      <c r="B54" s="46" t="s">
        <v>84</v>
      </c>
      <c r="C54" s="116"/>
      <c r="D54" s="116"/>
      <c r="E54" s="3">
        <f>SUMIF(Table4491423425[Category],"Events",Table4491423425[Amount])</f>
        <v>0</v>
      </c>
      <c r="F54" s="84"/>
      <c r="G54" s="78"/>
      <c r="H54" s="79"/>
      <c r="I54" s="76"/>
      <c r="J54" s="76"/>
      <c r="K54" s="77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</row>
    <row r="55" spans="1:26" x14ac:dyDescent="0.2">
      <c r="A55" s="1"/>
      <c r="B55" s="81" t="s">
        <v>73</v>
      </c>
      <c r="C55" s="116"/>
      <c r="D55" s="94">
        <f>SUM(E56:E59)</f>
        <v>0</v>
      </c>
      <c r="E55" s="3"/>
      <c r="F55" s="87">
        <f>SUM(F56:F59)</f>
        <v>0</v>
      </c>
      <c r="G55" s="78"/>
      <c r="H55" s="79"/>
      <c r="I55" s="76"/>
      <c r="J55" s="76"/>
      <c r="K55" s="77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</row>
    <row r="56" spans="1:26" x14ac:dyDescent="0.2">
      <c r="A56" s="1"/>
      <c r="B56" s="46" t="s">
        <v>74</v>
      </c>
      <c r="C56" s="116"/>
      <c r="D56" s="116"/>
      <c r="E56" s="3">
        <f>SUMIF(Table4491423425[Category],"Clothes",Table4491423425[Amount])</f>
        <v>0</v>
      </c>
      <c r="F56" s="84"/>
      <c r="G56" s="78"/>
      <c r="H56" s="79"/>
      <c r="I56" s="76"/>
      <c r="J56" s="76"/>
      <c r="K56" s="77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</row>
    <row r="57" spans="1:26" ht="17" thickBot="1" x14ac:dyDescent="0.25">
      <c r="A57" s="1"/>
      <c r="B57" s="46" t="s">
        <v>75</v>
      </c>
      <c r="C57" s="116"/>
      <c r="D57" s="116"/>
      <c r="E57" s="3">
        <f>SUMIF(Table4491423425[Category],"Accessories",Table4491423425[Amount])</f>
        <v>0</v>
      </c>
      <c r="F57" s="84"/>
      <c r="G57" s="78"/>
      <c r="H57" s="12" t="s">
        <v>202</v>
      </c>
      <c r="I57" s="9"/>
      <c r="J57" s="9"/>
      <c r="K57" s="10">
        <f>SUM(K22:K56)</f>
        <v>0</v>
      </c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</row>
    <row r="58" spans="1:26" x14ac:dyDescent="0.2">
      <c r="A58" s="1"/>
      <c r="B58" s="46" t="s">
        <v>76</v>
      </c>
      <c r="C58" s="116"/>
      <c r="D58" s="116"/>
      <c r="E58" s="3">
        <f>SUMIF(Table4491423425[Category],"Gifts",Table4491423425[Amount])</f>
        <v>0</v>
      </c>
      <c r="F58" s="84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</row>
    <row r="59" spans="1:26" ht="16" thickBot="1" x14ac:dyDescent="0.25">
      <c r="A59" s="78"/>
      <c r="B59" s="46" t="s">
        <v>81</v>
      </c>
      <c r="C59" s="116"/>
      <c r="D59" s="116"/>
      <c r="E59" s="3">
        <f>SUMIF(Table4491423425[Category],"Cosmetics",Table4491423425[Amount])</f>
        <v>0</v>
      </c>
      <c r="F59" s="84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</row>
    <row r="60" spans="1:26" x14ac:dyDescent="0.2">
      <c r="A60" s="78"/>
      <c r="B60" s="81" t="s">
        <v>77</v>
      </c>
      <c r="C60" s="116"/>
      <c r="D60" s="94">
        <f>SUMIF(Table4491423425[Category],"Hobbies",Table4491423425[Amount])</f>
        <v>0</v>
      </c>
      <c r="E60" s="3"/>
      <c r="F60" s="87">
        <v>0</v>
      </c>
      <c r="G60" s="78"/>
      <c r="H60" s="145" t="s">
        <v>103</v>
      </c>
      <c r="I60" s="146"/>
      <c r="J60" s="146"/>
      <c r="K60" s="147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</row>
    <row r="61" spans="1:26" x14ac:dyDescent="0.2">
      <c r="A61" s="78"/>
      <c r="B61" s="81"/>
      <c r="C61" s="116"/>
      <c r="D61" s="74"/>
      <c r="E61" s="3"/>
      <c r="F61" s="84"/>
      <c r="G61" s="78"/>
      <c r="H61" s="190"/>
      <c r="I61" s="149"/>
      <c r="J61" s="149"/>
      <c r="K61" s="150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</row>
    <row r="62" spans="1:26" ht="16" thickBot="1" x14ac:dyDescent="0.25">
      <c r="A62" s="78"/>
      <c r="B62" s="83" t="s">
        <v>4</v>
      </c>
      <c r="C62" s="82"/>
      <c r="D62" s="82"/>
      <c r="E62" s="90">
        <f>SUM(D31,D34,D40,D46,D52,D55,D60)</f>
        <v>0</v>
      </c>
      <c r="F62" s="85">
        <f>SUM(F31,F34,F40,F46,F52,F55,F60)</f>
        <v>0</v>
      </c>
      <c r="G62" s="78"/>
      <c r="H62" s="190"/>
      <c r="I62" s="149"/>
      <c r="J62" s="149"/>
      <c r="K62" s="150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</row>
    <row r="63" spans="1:26" x14ac:dyDescent="0.2">
      <c r="A63" s="78"/>
      <c r="B63" s="100"/>
      <c r="C63" s="101"/>
      <c r="D63" s="101"/>
      <c r="E63" s="102"/>
      <c r="F63" s="84"/>
      <c r="G63" s="78"/>
      <c r="H63" s="144"/>
      <c r="I63" s="149"/>
      <c r="J63" s="149"/>
      <c r="K63" s="150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</row>
    <row r="64" spans="1:26" x14ac:dyDescent="0.2">
      <c r="A64" s="78"/>
      <c r="B64" s="103" t="s">
        <v>85</v>
      </c>
      <c r="C64" s="104" t="e">
        <f>(D65)/(E81+E62)</f>
        <v>#DIV/0!</v>
      </c>
      <c r="D64" s="101"/>
      <c r="E64" s="102"/>
      <c r="F64" s="84"/>
      <c r="G64" s="78"/>
      <c r="H64" s="144"/>
      <c r="I64" s="149"/>
      <c r="J64" s="149"/>
      <c r="K64" s="150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</row>
    <row r="65" spans="1:26" x14ac:dyDescent="0.2">
      <c r="A65" s="78"/>
      <c r="B65" s="105" t="s">
        <v>94</v>
      </c>
      <c r="C65" s="101"/>
      <c r="D65" s="106">
        <f>SUM(E66:E68)</f>
        <v>0</v>
      </c>
      <c r="E65" s="102"/>
      <c r="F65" s="87">
        <f>SUM(F66:F68)</f>
        <v>0</v>
      </c>
      <c r="G65" s="78"/>
      <c r="H65" s="144"/>
      <c r="I65" s="149"/>
      <c r="J65" s="149"/>
      <c r="K65" s="150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</row>
    <row r="66" spans="1:26" x14ac:dyDescent="0.2">
      <c r="A66" s="78"/>
      <c r="B66" s="107" t="s">
        <v>88</v>
      </c>
      <c r="C66" s="101"/>
      <c r="D66" s="101"/>
      <c r="E66" s="102">
        <f>SUMIF(Table4491423425[Category],"Emergency Fund",Table4491423425[Amount])</f>
        <v>0</v>
      </c>
      <c r="F66" s="84"/>
      <c r="G66" s="78"/>
      <c r="H66" s="144"/>
      <c r="I66" s="149"/>
      <c r="J66" s="149"/>
      <c r="K66" s="150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</row>
    <row r="67" spans="1:26" x14ac:dyDescent="0.2">
      <c r="A67" s="78"/>
      <c r="B67" s="107" t="s">
        <v>55</v>
      </c>
      <c r="C67" s="101"/>
      <c r="D67" s="101"/>
      <c r="E67" s="102">
        <f>SUMIF(Table4491423425[Category],"Retirement",Table4491423425[Amount])</f>
        <v>0</v>
      </c>
      <c r="F67" s="84"/>
      <c r="G67" s="78"/>
      <c r="H67" s="144"/>
      <c r="I67" s="149"/>
      <c r="J67" s="149"/>
      <c r="K67" s="150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</row>
    <row r="68" spans="1:26" ht="14.25" customHeight="1" x14ac:dyDescent="0.2">
      <c r="A68" s="78"/>
      <c r="B68" s="107" t="s">
        <v>53</v>
      </c>
      <c r="C68" s="101"/>
      <c r="D68" s="101"/>
      <c r="E68" s="102">
        <f>SUMIF(Table4491423425[Category],"Investment",Table4491423425[Amount])</f>
        <v>0</v>
      </c>
      <c r="F68" s="84"/>
      <c r="G68" s="78"/>
      <c r="H68" s="144"/>
      <c r="I68" s="149"/>
      <c r="J68" s="149"/>
      <c r="K68" s="150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</row>
    <row r="69" spans="1:26" x14ac:dyDescent="0.2">
      <c r="A69" s="78"/>
      <c r="B69" s="100"/>
      <c r="C69" s="101"/>
      <c r="D69" s="101"/>
      <c r="E69" s="102"/>
      <c r="F69" s="84"/>
      <c r="G69" s="78"/>
      <c r="H69" s="144"/>
      <c r="I69" s="149"/>
      <c r="J69" s="149"/>
      <c r="K69" s="150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</row>
    <row r="70" spans="1:26" x14ac:dyDescent="0.2">
      <c r="A70" s="78"/>
      <c r="B70" s="103" t="s">
        <v>86</v>
      </c>
      <c r="C70" s="104" t="e">
        <f>D71/(E81+E62)</f>
        <v>#DIV/0!</v>
      </c>
      <c r="D70" s="101"/>
      <c r="E70" s="102"/>
      <c r="F70" s="84"/>
      <c r="G70" s="78"/>
      <c r="H70" s="144"/>
      <c r="I70" s="149"/>
      <c r="J70" s="149"/>
      <c r="K70" s="150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</row>
    <row r="71" spans="1:26" x14ac:dyDescent="0.2">
      <c r="A71" s="52"/>
      <c r="B71" s="105" t="s">
        <v>95</v>
      </c>
      <c r="C71" s="108"/>
      <c r="D71" s="106">
        <f>SUM(E72:E73)</f>
        <v>0</v>
      </c>
      <c r="E71" s="109"/>
      <c r="F71" s="87">
        <f>SUM(F72:F73)</f>
        <v>0</v>
      </c>
      <c r="G71" s="78"/>
      <c r="H71" s="144"/>
      <c r="I71" s="149"/>
      <c r="J71" s="149"/>
      <c r="K71" s="150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</row>
    <row r="72" spans="1:26" x14ac:dyDescent="0.2">
      <c r="A72" s="78"/>
      <c r="B72" s="110" t="s">
        <v>43</v>
      </c>
      <c r="C72" s="101"/>
      <c r="D72" s="101"/>
      <c r="E72" s="102">
        <f>SUMIF(Table4491423425[Category],"Donations",Table4491423425[Amount])</f>
        <v>0</v>
      </c>
      <c r="F72" s="84"/>
      <c r="G72" s="78"/>
      <c r="H72" s="144"/>
      <c r="I72" s="149"/>
      <c r="J72" s="149"/>
      <c r="K72" s="150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</row>
    <row r="73" spans="1:26" x14ac:dyDescent="0.2">
      <c r="A73" s="78"/>
      <c r="B73" s="110" t="s">
        <v>90</v>
      </c>
      <c r="C73" s="101"/>
      <c r="D73" s="101"/>
      <c r="E73" s="102">
        <f>SUMIF(Table4491423425[Category],"Offering",Table4491423425[Amount])</f>
        <v>0</v>
      </c>
      <c r="F73" s="84"/>
      <c r="G73" s="78"/>
      <c r="H73" s="144"/>
      <c r="I73" s="149"/>
      <c r="J73" s="149"/>
      <c r="K73" s="150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</row>
    <row r="74" spans="1:26" x14ac:dyDescent="0.2">
      <c r="A74" s="78"/>
      <c r="B74" s="110"/>
      <c r="C74" s="101"/>
      <c r="D74" s="101"/>
      <c r="E74" s="102"/>
      <c r="F74" s="84"/>
      <c r="G74" s="78"/>
      <c r="H74" s="144"/>
      <c r="I74" s="149"/>
      <c r="J74" s="149"/>
      <c r="K74" s="150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</row>
    <row r="75" spans="1:26" x14ac:dyDescent="0.2">
      <c r="A75" s="78"/>
      <c r="B75" s="111" t="s">
        <v>89</v>
      </c>
      <c r="C75" s="104" t="e">
        <f>D76/(E81+E62)</f>
        <v>#DIV/0!</v>
      </c>
      <c r="D75" s="101"/>
      <c r="E75" s="102"/>
      <c r="F75" s="84"/>
      <c r="G75" s="78"/>
      <c r="H75" s="144"/>
      <c r="I75" s="149"/>
      <c r="J75" s="149"/>
      <c r="K75" s="150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</row>
    <row r="76" spans="1:26" x14ac:dyDescent="0.2">
      <c r="A76" s="78"/>
      <c r="B76" s="112" t="s">
        <v>104</v>
      </c>
      <c r="C76" s="101"/>
      <c r="D76" s="106">
        <f>SUM(E77:E79)</f>
        <v>0</v>
      </c>
      <c r="E76" s="102"/>
      <c r="F76" s="87">
        <f>SUM(F77:F79)</f>
        <v>0</v>
      </c>
      <c r="G76" s="78"/>
      <c r="H76" s="144"/>
      <c r="I76" s="149"/>
      <c r="J76" s="149"/>
      <c r="K76" s="150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</row>
    <row r="77" spans="1:26" x14ac:dyDescent="0.2">
      <c r="A77" s="78"/>
      <c r="B77" s="110" t="s">
        <v>92</v>
      </c>
      <c r="C77" s="101"/>
      <c r="D77" s="101"/>
      <c r="E77" s="102">
        <f>SUMIF(Table4491423425[Category],"Student Loan",Table4491423425[Amount])</f>
        <v>0</v>
      </c>
      <c r="F77" s="84"/>
      <c r="G77" s="78"/>
      <c r="H77" s="144"/>
      <c r="I77" s="149"/>
      <c r="J77" s="149"/>
      <c r="K77" s="150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</row>
    <row r="78" spans="1:26" x14ac:dyDescent="0.2">
      <c r="A78" s="78"/>
      <c r="B78" s="107" t="s">
        <v>91</v>
      </c>
      <c r="C78" s="101"/>
      <c r="D78" s="101"/>
      <c r="E78" s="102">
        <f>SUMIF(Table4491423425[Category],"Credit Card",Table4491423425[Amount])</f>
        <v>0</v>
      </c>
      <c r="F78" s="84"/>
      <c r="G78" s="78"/>
      <c r="H78" s="144"/>
      <c r="I78" s="149"/>
      <c r="J78" s="149"/>
      <c r="K78" s="150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</row>
    <row r="79" spans="1:26" x14ac:dyDescent="0.2">
      <c r="A79" s="78"/>
      <c r="B79" s="110" t="s">
        <v>93</v>
      </c>
      <c r="C79" s="101"/>
      <c r="D79" s="101"/>
      <c r="E79" s="102">
        <f>SUMIF(Table4491423425[Category],"Car",Table4491423425[Amount])</f>
        <v>0</v>
      </c>
      <c r="F79" s="84"/>
      <c r="G79" s="1"/>
      <c r="H79" s="144"/>
      <c r="I79" s="149"/>
      <c r="J79" s="149"/>
      <c r="K79" s="150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</row>
    <row r="80" spans="1:26" s="54" customFormat="1" x14ac:dyDescent="0.2">
      <c r="A80" s="78"/>
      <c r="B80" s="111"/>
      <c r="C80" s="101"/>
      <c r="D80" s="101"/>
      <c r="E80" s="102"/>
      <c r="F80" s="84"/>
      <c r="G80" s="53"/>
      <c r="H80" s="148"/>
      <c r="I80" s="151"/>
      <c r="J80" s="151"/>
      <c r="K80" s="1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spans="1:26" ht="16" thickBot="1" x14ac:dyDescent="0.25">
      <c r="A81" s="78"/>
      <c r="B81" s="113" t="s">
        <v>35</v>
      </c>
      <c r="C81" s="114"/>
      <c r="D81" s="114"/>
      <c r="E81" s="115">
        <f>SUM(D65,D76,D71)</f>
        <v>0</v>
      </c>
      <c r="F81" s="85">
        <f>SUM(F65,F71,F76)</f>
        <v>0</v>
      </c>
      <c r="G81" s="1"/>
      <c r="H81" s="153"/>
      <c r="I81" s="154"/>
      <c r="J81" s="154"/>
      <c r="K81" s="155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</row>
    <row r="82" spans="1:26" x14ac:dyDescent="0.2">
      <c r="A82" s="78"/>
      <c r="B82" s="78"/>
      <c r="C82" s="78"/>
      <c r="D82" s="78"/>
      <c r="E82" s="78"/>
      <c r="F82" s="78"/>
      <c r="G82" s="1"/>
      <c r="H82" s="1"/>
      <c r="I82" s="1"/>
      <c r="J82" s="1"/>
      <c r="K82" s="1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</row>
    <row r="83" spans="1:26" ht="16" thickBot="1" x14ac:dyDescent="0.25">
      <c r="A83" s="78"/>
      <c r="B83" s="78"/>
      <c r="C83" s="78"/>
      <c r="D83" s="78"/>
      <c r="E83" s="78"/>
      <c r="F83" s="78"/>
      <c r="G83" s="1"/>
      <c r="H83" s="1"/>
      <c r="I83" s="1"/>
      <c r="J83" s="1"/>
      <c r="K83" s="1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</row>
    <row r="84" spans="1:26" x14ac:dyDescent="0.2">
      <c r="A84" s="78"/>
      <c r="B84" s="195" t="str">
        <f>B30</f>
        <v>LIVING EXPENSES</v>
      </c>
      <c r="C84" s="196" t="e">
        <f>C30</f>
        <v>#DIV/0!</v>
      </c>
      <c r="D84" s="78"/>
      <c r="E84" s="78"/>
      <c r="F84" s="78"/>
      <c r="G84" s="78"/>
      <c r="H84" s="1"/>
      <c r="I84" s="1"/>
      <c r="J84" s="1"/>
      <c r="K84" s="1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</row>
    <row r="85" spans="1:26" x14ac:dyDescent="0.2">
      <c r="A85" s="78"/>
      <c r="B85" s="144" t="str">
        <f>B51</f>
        <v>INDULGENCE EXPENSES</v>
      </c>
      <c r="C85" s="197" t="e">
        <f>C51</f>
        <v>#DIV/0!</v>
      </c>
      <c r="D85" s="78"/>
      <c r="E85" s="78"/>
      <c r="F85" s="78"/>
      <c r="G85" s="78"/>
      <c r="H85" s="1"/>
      <c r="I85" s="1"/>
      <c r="J85" s="1"/>
      <c r="K85" s="1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</row>
    <row r="86" spans="1:26" x14ac:dyDescent="0.2">
      <c r="A86" s="78"/>
      <c r="B86" s="144" t="str">
        <f>B64</f>
        <v>SAVINGS</v>
      </c>
      <c r="C86" s="197" t="e">
        <f>C64</f>
        <v>#DIV/0!</v>
      </c>
      <c r="D86" s="78"/>
      <c r="E86" s="78"/>
      <c r="F86" s="78"/>
      <c r="G86" s="78"/>
      <c r="H86" s="1"/>
      <c r="I86" s="1"/>
      <c r="J86" s="1"/>
      <c r="K86" s="1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</row>
    <row r="87" spans="1:26" x14ac:dyDescent="0.2">
      <c r="A87" s="78"/>
      <c r="B87" s="144" t="str">
        <f>B70</f>
        <v>TITHINGS</v>
      </c>
      <c r="C87" s="197" t="e">
        <f>C70</f>
        <v>#DIV/0!</v>
      </c>
      <c r="D87" s="78"/>
      <c r="E87" s="78"/>
      <c r="F87" s="78"/>
      <c r="G87" s="78"/>
      <c r="H87" s="1"/>
      <c r="I87" s="1"/>
      <c r="J87" s="1"/>
      <c r="K87" s="1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</row>
    <row r="88" spans="1:26" ht="16" thickBot="1" x14ac:dyDescent="0.25">
      <c r="A88" s="78"/>
      <c r="B88" s="153" t="str">
        <f>B75</f>
        <v>DEBT REPAYMENT</v>
      </c>
      <c r="C88" s="198" t="e">
        <f>C75</f>
        <v>#DIV/0!</v>
      </c>
      <c r="D88" s="78"/>
      <c r="E88" s="78"/>
      <c r="F88" s="78"/>
      <c r="G88" s="78"/>
      <c r="H88" s="1"/>
      <c r="I88" s="1"/>
      <c r="J88" s="1"/>
      <c r="K88" s="1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</row>
    <row r="89" spans="1:26" x14ac:dyDescent="0.2">
      <c r="A89" s="78"/>
      <c r="B89" s="78"/>
      <c r="C89" s="78"/>
      <c r="D89" s="78"/>
      <c r="E89" s="78"/>
      <c r="F89" s="78"/>
      <c r="G89" s="78"/>
      <c r="H89" s="1"/>
      <c r="I89" s="1"/>
      <c r="J89" s="1"/>
      <c r="K89" s="1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</row>
    <row r="90" spans="1:26" x14ac:dyDescent="0.2">
      <c r="A90" s="78"/>
      <c r="B90" s="78"/>
      <c r="C90" s="78"/>
      <c r="D90" s="78"/>
      <c r="E90" s="78"/>
      <c r="F90" s="78"/>
      <c r="G90" s="78"/>
      <c r="H90" s="1"/>
      <c r="I90" s="1"/>
      <c r="J90" s="1"/>
      <c r="K90" s="1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</row>
    <row r="91" spans="1:26" x14ac:dyDescent="0.2">
      <c r="A91" s="78"/>
      <c r="B91" s="78"/>
      <c r="C91" s="78"/>
      <c r="D91" s="78"/>
      <c r="E91" s="78"/>
      <c r="F91" s="78"/>
      <c r="G91" s="78"/>
      <c r="H91" s="1"/>
      <c r="I91" s="1"/>
      <c r="J91" s="1"/>
      <c r="K91" s="1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</row>
    <row r="92" spans="1:26" x14ac:dyDescent="0.2">
      <c r="A92" s="78"/>
      <c r="B92" s="78"/>
      <c r="C92" s="78"/>
      <c r="D92" s="78"/>
      <c r="E92" s="78"/>
      <c r="F92" s="78"/>
      <c r="G92" s="78"/>
      <c r="H92" s="1"/>
      <c r="I92" s="1"/>
      <c r="J92" s="1"/>
      <c r="K92" s="1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</row>
    <row r="93" spans="1:26" x14ac:dyDescent="0.2">
      <c r="A93" s="78"/>
      <c r="B93" s="78"/>
      <c r="C93" s="78"/>
      <c r="D93" s="78"/>
      <c r="E93" s="78"/>
      <c r="F93" s="78"/>
      <c r="G93" s="78"/>
      <c r="H93" s="1"/>
      <c r="I93" s="1"/>
      <c r="J93" s="1"/>
      <c r="K93" s="1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</row>
    <row r="94" spans="1:26" x14ac:dyDescent="0.2">
      <c r="A94" s="78"/>
      <c r="B94" s="78"/>
      <c r="C94" s="78"/>
      <c r="D94" s="78"/>
      <c r="E94" s="78"/>
      <c r="F94" s="78"/>
      <c r="G94" s="78"/>
      <c r="H94" s="1"/>
      <c r="I94" s="1"/>
      <c r="J94" s="1"/>
      <c r="K94" s="1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</row>
    <row r="95" spans="1:26" x14ac:dyDescent="0.2">
      <c r="A95" s="78"/>
      <c r="B95" s="78"/>
      <c r="C95" s="78"/>
      <c r="D95" s="78"/>
      <c r="E95" s="78"/>
      <c r="F95" s="78"/>
      <c r="G95" s="78"/>
      <c r="H95" s="1"/>
      <c r="I95" s="1"/>
      <c r="J95" s="1"/>
      <c r="K95" s="1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</row>
    <row r="96" spans="1:26" x14ac:dyDescent="0.2">
      <c r="A96" s="78"/>
      <c r="B96" s="78"/>
      <c r="C96" s="78"/>
      <c r="D96" s="78"/>
      <c r="E96" s="78"/>
      <c r="F96" s="78"/>
      <c r="G96" s="1"/>
      <c r="H96" s="1"/>
      <c r="I96" s="1"/>
      <c r="J96" s="1"/>
      <c r="K96" s="1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</row>
    <row r="97" spans="1:26" x14ac:dyDescent="0.2">
      <c r="A97" s="78"/>
      <c r="B97" s="78"/>
      <c r="C97" s="78"/>
      <c r="D97" s="78"/>
      <c r="E97" s="78"/>
      <c r="F97" s="78"/>
      <c r="G97" s="1"/>
      <c r="H97" s="1"/>
      <c r="I97" s="1"/>
      <c r="J97" s="1"/>
      <c r="K97" s="1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</row>
    <row r="98" spans="1:26" x14ac:dyDescent="0.2">
      <c r="A98" s="78"/>
      <c r="B98" s="78"/>
      <c r="C98" s="78"/>
      <c r="D98" s="78"/>
      <c r="E98" s="78"/>
      <c r="F98" s="78"/>
      <c r="G98" s="1"/>
      <c r="H98" s="1"/>
      <c r="I98" s="1"/>
      <c r="J98" s="1"/>
      <c r="K98" s="1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</row>
    <row r="99" spans="1:26" x14ac:dyDescent="0.2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</row>
    <row r="100" spans="1:26" x14ac:dyDescent="0.2">
      <c r="A100" s="78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</row>
    <row r="101" spans="1:26" x14ac:dyDescent="0.2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</row>
    <row r="102" spans="1:26" x14ac:dyDescent="0.2">
      <c r="A102" s="78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</row>
    <row r="103" spans="1:26" x14ac:dyDescent="0.2">
      <c r="A103" s="78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</row>
    <row r="104" spans="1:26" x14ac:dyDescent="0.2">
      <c r="A104" s="78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</row>
    <row r="105" spans="1:26" x14ac:dyDescent="0.2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</row>
    <row r="106" spans="1:26" x14ac:dyDescent="0.2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</row>
    <row r="107" spans="1:26" x14ac:dyDescent="0.2">
      <c r="A107" s="78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</row>
    <row r="108" spans="1:26" x14ac:dyDescent="0.2">
      <c r="A108" s="78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</row>
  </sheetData>
  <mergeCells count="11">
    <mergeCell ref="D9:E9"/>
    <mergeCell ref="B2:I2"/>
    <mergeCell ref="B6:C6"/>
    <mergeCell ref="D6:F6"/>
    <mergeCell ref="D7:E7"/>
    <mergeCell ref="D8:E8"/>
    <mergeCell ref="D10:E10"/>
    <mergeCell ref="D12:E12"/>
    <mergeCell ref="D13:E13"/>
    <mergeCell ref="B15:F15"/>
    <mergeCell ref="H20:K20"/>
  </mergeCells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87D95-397C-41DB-BB53-758C24E1F269}">
  <dimension ref="A1:Z108"/>
  <sheetViews>
    <sheetView workbookViewId="0"/>
  </sheetViews>
  <sheetFormatPr baseColWidth="10" defaultColWidth="9.1640625" defaultRowHeight="15" x14ac:dyDescent="0.2"/>
  <cols>
    <col min="1" max="1" width="10.6640625" style="75" customWidth="1"/>
    <col min="2" max="2" width="21.1640625" style="75" customWidth="1"/>
    <col min="3" max="6" width="10.6640625" style="75" customWidth="1"/>
    <col min="7" max="7" width="11" style="75" customWidth="1"/>
    <col min="8" max="8" width="12.6640625" style="75" customWidth="1"/>
    <col min="9" max="9" width="31.5" style="75" customWidth="1"/>
    <col min="10" max="10" width="15.6640625" style="75" customWidth="1"/>
    <col min="11" max="11" width="11.6640625" style="75" customWidth="1"/>
    <col min="12" max="13" width="9.1640625" style="75"/>
    <col min="14" max="19" width="10.6640625" style="75" customWidth="1"/>
    <col min="20" max="16384" width="9.1640625" style="75"/>
  </cols>
  <sheetData>
    <row r="1" spans="1:26" ht="16" thickBo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ht="20" thickBot="1" x14ac:dyDescent="0.3">
      <c r="A2" s="78"/>
      <c r="B2" s="214" t="s">
        <v>203</v>
      </c>
      <c r="C2" s="215"/>
      <c r="D2" s="215"/>
      <c r="E2" s="215"/>
      <c r="F2" s="215"/>
      <c r="G2" s="215"/>
      <c r="H2" s="215"/>
      <c r="I2" s="216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26" x14ac:dyDescent="0.2">
      <c r="A3" s="78"/>
      <c r="B3" s="140" t="s">
        <v>59</v>
      </c>
      <c r="C3" s="141" t="s">
        <v>20</v>
      </c>
      <c r="D3" s="141" t="s">
        <v>52</v>
      </c>
      <c r="E3" s="141" t="s">
        <v>12</v>
      </c>
      <c r="F3" s="142" t="s">
        <v>54</v>
      </c>
      <c r="G3" s="142" t="s">
        <v>14</v>
      </c>
      <c r="H3" s="142" t="s">
        <v>60</v>
      </c>
      <c r="I3" s="143" t="s">
        <v>55</v>
      </c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26" ht="16" thickBot="1" x14ac:dyDescent="0.25">
      <c r="A4" s="78"/>
      <c r="B4" s="95">
        <v>0</v>
      </c>
      <c r="C4" s="96">
        <v>0</v>
      </c>
      <c r="D4" s="96">
        <v>0</v>
      </c>
      <c r="E4" s="96">
        <v>0</v>
      </c>
      <c r="F4" s="97">
        <v>0</v>
      </c>
      <c r="G4" s="98">
        <v>0</v>
      </c>
      <c r="H4" s="98">
        <v>0</v>
      </c>
      <c r="I4" s="99">
        <v>0</v>
      </c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26" ht="16" thickBot="1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spans="1:26" ht="19" x14ac:dyDescent="0.25">
      <c r="A6" s="78"/>
      <c r="B6" s="217" t="s">
        <v>204</v>
      </c>
      <c r="C6" s="218"/>
      <c r="D6" s="219" t="s">
        <v>205</v>
      </c>
      <c r="E6" s="220"/>
      <c r="F6" s="221"/>
      <c r="G6" s="78"/>
      <c r="H6" s="1"/>
      <c r="I6" s="1"/>
      <c r="J6" s="1"/>
      <c r="K6" s="1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pans="1:26" x14ac:dyDescent="0.2">
      <c r="A7" s="78"/>
      <c r="B7" s="117" t="s">
        <v>2</v>
      </c>
      <c r="C7" s="118">
        <v>0</v>
      </c>
      <c r="D7" s="222" t="str">
        <f t="shared" ref="D7:D13" si="0">B7</f>
        <v>Income</v>
      </c>
      <c r="E7" s="223"/>
      <c r="F7" s="119">
        <f>F27</f>
        <v>0</v>
      </c>
      <c r="G7" s="78"/>
      <c r="H7" s="1"/>
      <c r="I7" s="1"/>
      <c r="J7" s="1"/>
      <c r="K7" s="1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</row>
    <row r="8" spans="1:26" x14ac:dyDescent="0.2">
      <c r="A8" s="78"/>
      <c r="B8" s="120" t="s">
        <v>12</v>
      </c>
      <c r="C8" s="121">
        <f>SUM(F66:F68)</f>
        <v>0</v>
      </c>
      <c r="D8" s="228" t="str">
        <f t="shared" si="0"/>
        <v>Savings</v>
      </c>
      <c r="E8" s="229"/>
      <c r="F8" s="122">
        <f>D65</f>
        <v>0</v>
      </c>
      <c r="G8" s="78"/>
      <c r="H8" s="1"/>
      <c r="I8" s="1"/>
      <c r="J8" s="1"/>
      <c r="K8" s="1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</row>
    <row r="9" spans="1:26" x14ac:dyDescent="0.2">
      <c r="A9" s="78"/>
      <c r="B9" s="123" t="s">
        <v>120</v>
      </c>
      <c r="C9" s="124">
        <f>SUM(F72:F73)</f>
        <v>0</v>
      </c>
      <c r="D9" s="232" t="str">
        <f t="shared" si="0"/>
        <v>Tithing</v>
      </c>
      <c r="E9" s="232"/>
      <c r="F9" s="125">
        <f>D71</f>
        <v>0</v>
      </c>
      <c r="G9" s="78"/>
      <c r="H9" s="1"/>
      <c r="I9" s="1"/>
      <c r="J9" s="1"/>
      <c r="K9" s="1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</row>
    <row r="10" spans="1:26" x14ac:dyDescent="0.2">
      <c r="A10" s="78"/>
      <c r="B10" s="126" t="s">
        <v>14</v>
      </c>
      <c r="C10" s="127">
        <f>SUM(F77:F79)</f>
        <v>0</v>
      </c>
      <c r="D10" s="230" t="str">
        <f t="shared" si="0"/>
        <v>Debt</v>
      </c>
      <c r="E10" s="231"/>
      <c r="F10" s="128">
        <f>D76</f>
        <v>0</v>
      </c>
      <c r="G10" s="78"/>
      <c r="H10" s="1"/>
      <c r="I10" s="1"/>
      <c r="J10" s="1"/>
      <c r="K10" s="1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</row>
    <row r="11" spans="1:26" x14ac:dyDescent="0.2">
      <c r="A11" s="78"/>
      <c r="B11" s="129" t="s">
        <v>124</v>
      </c>
      <c r="C11" s="130">
        <f>C7-C8-C9-C10</f>
        <v>0</v>
      </c>
      <c r="D11" s="131" t="str">
        <f t="shared" si="0"/>
        <v>Budgeted</v>
      </c>
      <c r="E11" s="132"/>
      <c r="F11" s="133">
        <f>F7-F8-F9-F10</f>
        <v>0</v>
      </c>
      <c r="G11" s="78"/>
      <c r="H11" s="1"/>
      <c r="I11" s="1"/>
      <c r="J11" s="1"/>
      <c r="K11" s="1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</row>
    <row r="12" spans="1:26" x14ac:dyDescent="0.2">
      <c r="A12" s="78"/>
      <c r="B12" s="134" t="s">
        <v>0</v>
      </c>
      <c r="C12" s="135">
        <f>F62</f>
        <v>0</v>
      </c>
      <c r="D12" s="224" t="str">
        <f t="shared" si="0"/>
        <v>Expenses</v>
      </c>
      <c r="E12" s="225"/>
      <c r="F12" s="136">
        <f>E62</f>
        <v>0</v>
      </c>
      <c r="G12" s="78"/>
      <c r="H12" s="1"/>
      <c r="I12" s="1"/>
      <c r="J12" s="1"/>
      <c r="K12" s="1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</row>
    <row r="13" spans="1:26" ht="16" thickBot="1" x14ac:dyDescent="0.25">
      <c r="A13" s="78"/>
      <c r="B13" s="137" t="s">
        <v>123</v>
      </c>
      <c r="C13" s="138">
        <f>C11-C12</f>
        <v>0</v>
      </c>
      <c r="D13" s="226" t="str">
        <f t="shared" si="0"/>
        <v>Remaining</v>
      </c>
      <c r="E13" s="227"/>
      <c r="F13" s="139">
        <f>F11-F12</f>
        <v>0</v>
      </c>
      <c r="G13" s="78"/>
      <c r="H13" s="1"/>
      <c r="I13" s="1"/>
      <c r="J13" s="1"/>
      <c r="K13" s="1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</row>
    <row r="14" spans="1:26" ht="16" thickBot="1" x14ac:dyDescent="0.25">
      <c r="A14" s="78"/>
      <c r="B14" s="78"/>
      <c r="C14" s="78"/>
      <c r="D14" s="78"/>
      <c r="E14" s="78"/>
      <c r="F14" s="78"/>
      <c r="G14" s="78"/>
      <c r="H14" s="1"/>
      <c r="I14" s="1"/>
      <c r="J14" s="1"/>
      <c r="K14" s="1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</row>
    <row r="15" spans="1:26" ht="20" thickBot="1" x14ac:dyDescent="0.3">
      <c r="A15" s="78"/>
      <c r="B15" s="214" t="s">
        <v>206</v>
      </c>
      <c r="C15" s="215"/>
      <c r="D15" s="215"/>
      <c r="E15" s="215"/>
      <c r="F15" s="216"/>
      <c r="G15" s="78"/>
      <c r="H15" s="1"/>
      <c r="I15" s="1"/>
      <c r="J15" s="1"/>
      <c r="K15" s="1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</row>
    <row r="16" spans="1:26" ht="17" thickBot="1" x14ac:dyDescent="0.25">
      <c r="A16" s="78"/>
      <c r="B16" s="63" t="s">
        <v>2</v>
      </c>
      <c r="C16" s="64"/>
      <c r="D16" s="65"/>
      <c r="E16" s="65"/>
      <c r="F16" s="66"/>
      <c r="G16" s="78"/>
      <c r="H16" s="1"/>
      <c r="I16" s="1"/>
      <c r="J16" s="1"/>
      <c r="K16" s="1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</row>
    <row r="17" spans="1:26" x14ac:dyDescent="0.2">
      <c r="A17" s="78"/>
      <c r="B17" s="4"/>
      <c r="C17" s="2"/>
      <c r="D17" s="2"/>
      <c r="E17" s="2"/>
      <c r="F17" s="62"/>
      <c r="G17" s="78"/>
      <c r="H17" s="1"/>
      <c r="I17" s="1"/>
      <c r="J17" s="1"/>
      <c r="K17" s="1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</row>
    <row r="18" spans="1:26" x14ac:dyDescent="0.2">
      <c r="A18" s="78"/>
      <c r="B18" s="4"/>
      <c r="C18" s="2"/>
      <c r="D18" s="2"/>
      <c r="E18" s="2"/>
      <c r="F18" s="55"/>
      <c r="G18" s="78"/>
      <c r="H18" s="1"/>
      <c r="I18" s="1"/>
      <c r="J18" s="1"/>
      <c r="K18" s="1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</row>
    <row r="19" spans="1:26" ht="16" thickBot="1" x14ac:dyDescent="0.25">
      <c r="A19" s="78"/>
      <c r="B19" s="4"/>
      <c r="C19" s="2"/>
      <c r="D19" s="2"/>
      <c r="E19" s="2"/>
      <c r="F19" s="55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</row>
    <row r="20" spans="1:26" ht="20" thickBot="1" x14ac:dyDescent="0.3">
      <c r="A20" s="78"/>
      <c r="B20" s="4"/>
      <c r="C20" s="2"/>
      <c r="D20" s="2"/>
      <c r="E20" s="2"/>
      <c r="F20" s="55"/>
      <c r="G20" s="78"/>
      <c r="H20" s="214" t="s">
        <v>207</v>
      </c>
      <c r="I20" s="215"/>
      <c r="J20" s="215"/>
      <c r="K20" s="216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</row>
    <row r="21" spans="1:26" x14ac:dyDescent="0.2">
      <c r="A21" s="78"/>
      <c r="B21" s="4"/>
      <c r="C21" s="2"/>
      <c r="D21" s="2"/>
      <c r="E21" s="2"/>
      <c r="F21" s="55"/>
      <c r="G21" s="78"/>
      <c r="H21" s="76" t="s">
        <v>5</v>
      </c>
      <c r="I21" s="76" t="s">
        <v>7</v>
      </c>
      <c r="J21" s="76" t="s">
        <v>8</v>
      </c>
      <c r="K21" s="77" t="s">
        <v>6</v>
      </c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</row>
    <row r="22" spans="1:26" x14ac:dyDescent="0.2">
      <c r="A22" s="78"/>
      <c r="B22" s="4"/>
      <c r="C22" s="2"/>
      <c r="D22" s="2"/>
      <c r="E22" s="2"/>
      <c r="F22" s="55"/>
      <c r="G22" s="78"/>
      <c r="H22" s="79"/>
      <c r="I22" s="76"/>
      <c r="J22" s="76"/>
      <c r="K22" s="77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</row>
    <row r="23" spans="1:26" x14ac:dyDescent="0.2">
      <c r="A23" s="78"/>
      <c r="B23" s="4"/>
      <c r="C23" s="2"/>
      <c r="D23" s="2"/>
      <c r="E23" s="2"/>
      <c r="F23" s="55"/>
      <c r="G23" s="78"/>
      <c r="H23" s="79"/>
      <c r="I23" s="76"/>
      <c r="J23" s="76"/>
      <c r="K23" s="77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</row>
    <row r="24" spans="1:26" x14ac:dyDescent="0.2">
      <c r="A24" s="78"/>
      <c r="B24" s="4"/>
      <c r="C24" s="2"/>
      <c r="D24" s="2"/>
      <c r="E24" s="2"/>
      <c r="F24" s="55"/>
      <c r="G24" s="78"/>
      <c r="H24" s="79"/>
      <c r="I24" s="76"/>
      <c r="J24" s="76"/>
      <c r="K24" s="77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</row>
    <row r="25" spans="1:26" x14ac:dyDescent="0.2">
      <c r="A25" s="78"/>
      <c r="B25" s="4"/>
      <c r="C25" s="2"/>
      <c r="D25" s="2"/>
      <c r="E25" s="2"/>
      <c r="F25" s="55"/>
      <c r="G25" s="78"/>
      <c r="H25" s="79"/>
      <c r="I25" s="76"/>
      <c r="J25" s="76"/>
      <c r="K25" s="77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</row>
    <row r="26" spans="1:26" x14ac:dyDescent="0.2">
      <c r="A26" s="78"/>
      <c r="B26" s="5"/>
      <c r="C26" s="2"/>
      <c r="D26" s="2"/>
      <c r="E26" s="2"/>
      <c r="F26" s="56"/>
      <c r="G26" s="78"/>
      <c r="H26" s="79"/>
      <c r="I26" s="76"/>
      <c r="J26" s="76"/>
      <c r="K26" s="77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</row>
    <row r="27" spans="1:26" s="41" customFormat="1" ht="16" thickBot="1" x14ac:dyDescent="0.25">
      <c r="A27" s="78"/>
      <c r="B27" s="6" t="s">
        <v>3</v>
      </c>
      <c r="C27" s="7"/>
      <c r="D27" s="58"/>
      <c r="E27" s="58"/>
      <c r="F27" s="57">
        <f>SUM(F17:F26)</f>
        <v>0</v>
      </c>
      <c r="G27" s="78"/>
      <c r="H27" s="79"/>
      <c r="I27" s="76"/>
      <c r="J27" s="76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</row>
    <row r="28" spans="1:26" ht="16" thickBot="1" x14ac:dyDescent="0.25">
      <c r="A28" s="78"/>
      <c r="B28" s="59"/>
      <c r="C28" s="60"/>
      <c r="D28" s="60"/>
      <c r="E28" s="60"/>
      <c r="F28" s="61"/>
      <c r="G28" s="78"/>
      <c r="H28" s="79"/>
      <c r="I28" s="76"/>
      <c r="J28" s="76"/>
      <c r="K28" s="77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</row>
    <row r="29" spans="1:26" ht="17" thickBot="1" x14ac:dyDescent="0.25">
      <c r="A29" s="78"/>
      <c r="B29" s="51" t="s">
        <v>0</v>
      </c>
      <c r="C29" s="49"/>
      <c r="D29" s="49"/>
      <c r="E29" s="49"/>
      <c r="F29" s="68" t="s">
        <v>1</v>
      </c>
      <c r="G29" s="78"/>
      <c r="H29" s="79"/>
      <c r="I29" s="76"/>
      <c r="J29" s="76"/>
      <c r="K29" s="77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</row>
    <row r="30" spans="1:26" x14ac:dyDescent="0.2">
      <c r="A30" s="78"/>
      <c r="B30" s="67" t="s">
        <v>87</v>
      </c>
      <c r="C30" s="72" t="e">
        <f>(D31+D34+D40+D46)/(E81+E62)</f>
        <v>#DIV/0!</v>
      </c>
      <c r="D30" s="71"/>
      <c r="E30" s="89"/>
      <c r="F30" s="91"/>
      <c r="G30" s="78"/>
      <c r="H30" s="79"/>
      <c r="I30" s="76"/>
      <c r="J30" s="76"/>
      <c r="K30" s="77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</row>
    <row r="31" spans="1:26" x14ac:dyDescent="0.2">
      <c r="A31" s="78"/>
      <c r="B31" s="81" t="s">
        <v>37</v>
      </c>
      <c r="C31" s="3"/>
      <c r="D31" s="92">
        <f>SUM(E32:E33)</f>
        <v>0</v>
      </c>
      <c r="E31" s="3"/>
      <c r="F31" s="87">
        <f>SUM(F32:F33)</f>
        <v>0</v>
      </c>
      <c r="G31" s="78"/>
      <c r="H31" s="79"/>
      <c r="I31" s="76"/>
      <c r="J31" s="76"/>
      <c r="K31" s="77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</row>
    <row r="32" spans="1:26" x14ac:dyDescent="0.2">
      <c r="A32" s="78"/>
      <c r="B32" s="46" t="s">
        <v>62</v>
      </c>
      <c r="C32" s="3"/>
      <c r="D32" s="3"/>
      <c r="E32" s="3">
        <f>SUMIF(Table4491423426[Category],"Rent",Table4491423426[Amount])</f>
        <v>0</v>
      </c>
      <c r="F32" s="84"/>
      <c r="G32" s="78"/>
      <c r="H32" s="79"/>
      <c r="I32" s="76"/>
      <c r="J32" s="76"/>
      <c r="K32" s="77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</row>
    <row r="33" spans="1:26" x14ac:dyDescent="0.2">
      <c r="A33" s="78"/>
      <c r="B33" s="46" t="s">
        <v>38</v>
      </c>
      <c r="C33" s="3"/>
      <c r="D33" s="3"/>
      <c r="E33" s="3">
        <f>SUMIF(Table4491423426[Category],"Utilities",Table4491423426[Amount])</f>
        <v>0</v>
      </c>
      <c r="F33" s="84"/>
      <c r="G33" s="78"/>
      <c r="H33" s="79"/>
      <c r="I33" s="76"/>
      <c r="J33" s="76"/>
      <c r="K33" s="77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</row>
    <row r="34" spans="1:26" x14ac:dyDescent="0.2">
      <c r="A34" s="78"/>
      <c r="B34" s="47" t="s">
        <v>39</v>
      </c>
      <c r="C34" s="3"/>
      <c r="D34" s="92">
        <f>SUM(E35:E39)</f>
        <v>0</v>
      </c>
      <c r="E34" s="3"/>
      <c r="F34" s="87">
        <f>SUM(F35:F39)</f>
        <v>0</v>
      </c>
      <c r="G34" s="78"/>
      <c r="H34" s="79"/>
      <c r="I34" s="76"/>
      <c r="J34" s="76"/>
      <c r="K34" s="77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</row>
    <row r="35" spans="1:26" ht="15.75" customHeight="1" x14ac:dyDescent="0.2">
      <c r="A35" s="78"/>
      <c r="B35" s="46" t="s">
        <v>82</v>
      </c>
      <c r="C35" s="3"/>
      <c r="D35" s="3"/>
      <c r="E35" s="3">
        <f>SUMIF(Table4491423426[Category],"Restaurants",Table4491423426[Amount])</f>
        <v>0</v>
      </c>
      <c r="F35" s="84"/>
      <c r="G35" s="78"/>
      <c r="H35" s="79"/>
      <c r="I35" s="76"/>
      <c r="J35" s="76"/>
      <c r="K35" s="77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</row>
    <row r="36" spans="1:26" ht="14.25" customHeight="1" x14ac:dyDescent="0.2">
      <c r="A36" s="78"/>
      <c r="B36" s="46" t="s">
        <v>63</v>
      </c>
      <c r="C36" s="3"/>
      <c r="D36" s="3"/>
      <c r="E36" s="3">
        <f>SUMIF(Table4491423426[Category],"Fast Food",Table4491423426[Amount])</f>
        <v>0</v>
      </c>
      <c r="F36" s="84"/>
      <c r="G36" s="78"/>
      <c r="H36" s="79"/>
      <c r="I36" s="76"/>
      <c r="J36" s="76"/>
      <c r="K36" s="77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</row>
    <row r="37" spans="1:26" x14ac:dyDescent="0.2">
      <c r="A37" s="78"/>
      <c r="B37" s="46" t="s">
        <v>64</v>
      </c>
      <c r="C37" s="3"/>
      <c r="D37" s="3"/>
      <c r="E37" s="3">
        <f>SUMIF(Table4491423426[Category],"Groceries",Table4491423426[Amount])</f>
        <v>0</v>
      </c>
      <c r="F37" s="84"/>
      <c r="G37" s="78"/>
      <c r="H37" s="79"/>
      <c r="I37" s="76"/>
      <c r="J37" s="76"/>
      <c r="K37" s="77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</row>
    <row r="38" spans="1:26" x14ac:dyDescent="0.2">
      <c r="A38" s="78"/>
      <c r="B38" s="46" t="s">
        <v>65</v>
      </c>
      <c r="C38" s="3"/>
      <c r="D38" s="3"/>
      <c r="E38" s="3">
        <f>SUMIF(Table4491423426[Category],"Coffee",Table4491423426[Amount])</f>
        <v>0</v>
      </c>
      <c r="F38" s="84"/>
      <c r="G38" s="78"/>
      <c r="H38" s="79"/>
      <c r="I38" s="76"/>
      <c r="J38" s="76"/>
      <c r="K38" s="77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</row>
    <row r="39" spans="1:26" x14ac:dyDescent="0.2">
      <c r="A39" s="78"/>
      <c r="B39" s="46" t="s">
        <v>66</v>
      </c>
      <c r="C39" s="3"/>
      <c r="D39" s="3"/>
      <c r="E39" s="3">
        <f>SUMIF(Table4491423426[Category],"Bars",Table4491423426[Amount])</f>
        <v>0</v>
      </c>
      <c r="F39" s="84"/>
      <c r="G39" s="78"/>
      <c r="H39" s="79"/>
      <c r="I39" s="76"/>
      <c r="J39" s="76"/>
      <c r="K39" s="77"/>
      <c r="L39" s="78"/>
      <c r="M39" s="78"/>
      <c r="N39" s="37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spans="1:26" x14ac:dyDescent="0.2">
      <c r="A40" s="78"/>
      <c r="B40" s="48" t="s">
        <v>67</v>
      </c>
      <c r="C40" s="44"/>
      <c r="D40" s="93">
        <f>SUM(E41:E45)</f>
        <v>0</v>
      </c>
      <c r="E40" s="3"/>
      <c r="F40" s="88">
        <f>SUM(F41:F45)</f>
        <v>0</v>
      </c>
      <c r="G40" s="78"/>
      <c r="H40" s="79"/>
      <c r="I40" s="76"/>
      <c r="J40" s="76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spans="1:26" x14ac:dyDescent="0.2">
      <c r="A41" s="1"/>
      <c r="B41" s="46" t="s">
        <v>42</v>
      </c>
      <c r="C41" s="3"/>
      <c r="D41" s="3"/>
      <c r="E41" s="3">
        <f>SUMIF(Table4491423426[Category],"Gas",Table4491423426[Amount])</f>
        <v>0</v>
      </c>
      <c r="F41" s="84"/>
      <c r="G41" s="78"/>
      <c r="H41" s="79"/>
      <c r="I41" s="76"/>
      <c r="K41" s="77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</row>
    <row r="42" spans="1:26" x14ac:dyDescent="0.2">
      <c r="A42" s="1"/>
      <c r="B42" s="46" t="s">
        <v>68</v>
      </c>
      <c r="C42" s="116"/>
      <c r="D42" s="116"/>
      <c r="E42" s="3">
        <f>SUMIF(Table4491423426[Category],"Insurance",Table4491423426[Amount])</f>
        <v>0</v>
      </c>
      <c r="F42" s="84"/>
      <c r="G42" s="78"/>
      <c r="H42" s="79"/>
      <c r="J42" s="76"/>
      <c r="K42" s="77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</row>
    <row r="43" spans="1:26" x14ac:dyDescent="0.2">
      <c r="A43" s="18"/>
      <c r="B43" s="46" t="s">
        <v>83</v>
      </c>
      <c r="C43" s="116"/>
      <c r="D43" s="116"/>
      <c r="E43" s="3">
        <f>SUMIF(Table4491423426[Category],"Maintenance",Table4491423426[Amount])</f>
        <v>0</v>
      </c>
      <c r="F43" s="84"/>
      <c r="G43" s="78"/>
      <c r="H43" s="79"/>
      <c r="I43" s="76"/>
      <c r="J43" s="76"/>
      <c r="K43" s="77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</row>
    <row r="44" spans="1:26" x14ac:dyDescent="0.2">
      <c r="A44" s="43"/>
      <c r="B44" s="46" t="s">
        <v>69</v>
      </c>
      <c r="C44" s="116"/>
      <c r="D44" s="116"/>
      <c r="E44" s="3">
        <f>SUMIF(Table4491423426[Category],"Parking",Table4491423426[Amount])</f>
        <v>0</v>
      </c>
      <c r="F44" s="84"/>
      <c r="G44" s="78"/>
      <c r="H44" s="79"/>
      <c r="I44" s="76"/>
      <c r="J44" s="76"/>
      <c r="K44" s="77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</row>
    <row r="45" spans="1:26" x14ac:dyDescent="0.2">
      <c r="A45" s="78"/>
      <c r="B45" s="46" t="s">
        <v>40</v>
      </c>
      <c r="C45" s="116"/>
      <c r="D45" s="116"/>
      <c r="E45" s="3">
        <f>SUMIF(Table4491423426[Category],"Uber",Table4491423426[Amount])</f>
        <v>0</v>
      </c>
      <c r="F45" s="84"/>
      <c r="G45" s="78"/>
      <c r="H45" s="79"/>
      <c r="I45" s="76"/>
      <c r="J45" s="76"/>
      <c r="K45" s="77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</row>
    <row r="46" spans="1:26" x14ac:dyDescent="0.2">
      <c r="A46" s="1"/>
      <c r="B46" s="81" t="s">
        <v>70</v>
      </c>
      <c r="C46" s="116"/>
      <c r="D46" s="94">
        <f>SUM(E47:E48)</f>
        <v>0</v>
      </c>
      <c r="E46" s="3"/>
      <c r="F46" s="87">
        <f>SUM(F47:F48)</f>
        <v>0</v>
      </c>
      <c r="G46" s="78"/>
      <c r="H46" s="79"/>
      <c r="I46" s="76"/>
      <c r="J46" s="76"/>
      <c r="K46" s="77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</row>
    <row r="47" spans="1:26" x14ac:dyDescent="0.2">
      <c r="A47" s="1"/>
      <c r="B47" s="46" t="s">
        <v>44</v>
      </c>
      <c r="C47" s="116"/>
      <c r="D47" s="116"/>
      <c r="E47" s="3">
        <f>SUMIF(Table4491423426[Category],"Tuition",Table4491423426[Amount])</f>
        <v>0</v>
      </c>
      <c r="F47" s="84"/>
      <c r="G47" s="78"/>
      <c r="H47" s="79"/>
      <c r="I47" s="76"/>
      <c r="J47" s="76"/>
      <c r="K47" s="77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</row>
    <row r="48" spans="1:26" x14ac:dyDescent="0.2">
      <c r="A48" s="1"/>
      <c r="B48" s="46" t="s">
        <v>71</v>
      </c>
      <c r="C48" s="116"/>
      <c r="D48" s="116"/>
      <c r="E48" s="3">
        <f>SUMIF(Table4491423426[Category],"Books",Table4491423426[Amount])</f>
        <v>0</v>
      </c>
      <c r="F48" s="84"/>
      <c r="G48" s="78"/>
      <c r="H48" s="79"/>
      <c r="I48" s="76"/>
      <c r="J48" s="76"/>
      <c r="K48" s="77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</row>
    <row r="49" spans="1:26" x14ac:dyDescent="0.2">
      <c r="A49" s="1"/>
      <c r="B49" s="46"/>
      <c r="C49" s="116"/>
      <c r="D49" s="116"/>
      <c r="E49" s="3"/>
      <c r="F49" s="84"/>
      <c r="G49" s="78"/>
      <c r="H49" s="79"/>
      <c r="I49" s="76"/>
      <c r="J49" s="76"/>
      <c r="K49" s="77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</row>
    <row r="50" spans="1:26" x14ac:dyDescent="0.2">
      <c r="A50" s="1"/>
      <c r="B50" s="46"/>
      <c r="C50" s="116"/>
      <c r="D50" s="116"/>
      <c r="E50" s="3"/>
      <c r="F50" s="84"/>
      <c r="G50" s="78"/>
      <c r="H50" s="79"/>
      <c r="I50" s="76"/>
      <c r="J50" s="76"/>
      <c r="K50" s="77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</row>
    <row r="51" spans="1:26" x14ac:dyDescent="0.2">
      <c r="A51" s="1"/>
      <c r="B51" s="50" t="s">
        <v>121</v>
      </c>
      <c r="C51" s="73" t="e">
        <f>(D52+D55+D60)/(E81+E62)</f>
        <v>#DIV/0!</v>
      </c>
      <c r="D51" s="116"/>
      <c r="E51" s="3"/>
      <c r="F51" s="84"/>
      <c r="G51" s="78"/>
      <c r="H51" s="79"/>
      <c r="I51" s="76"/>
      <c r="J51" s="76"/>
      <c r="K51" s="77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</row>
    <row r="52" spans="1:26" x14ac:dyDescent="0.2">
      <c r="A52" s="1"/>
      <c r="B52" s="81" t="s">
        <v>41</v>
      </c>
      <c r="C52" s="116"/>
      <c r="D52" s="94">
        <f>SUM(E53:E54)</f>
        <v>0</v>
      </c>
      <c r="E52" s="3"/>
      <c r="F52" s="87">
        <f>SUM(F53:F54)</f>
        <v>0</v>
      </c>
      <c r="G52" s="78"/>
      <c r="H52" s="79"/>
      <c r="I52" s="76"/>
      <c r="J52" s="76"/>
      <c r="K52" s="77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</row>
    <row r="53" spans="1:26" x14ac:dyDescent="0.2">
      <c r="A53" s="1"/>
      <c r="B53" s="46" t="s">
        <v>72</v>
      </c>
      <c r="C53" s="116"/>
      <c r="D53" s="116"/>
      <c r="E53" s="3">
        <f>SUMIF(Table4491423426[Category],"Subscription",Table4491423426[Amount])</f>
        <v>0</v>
      </c>
      <c r="F53" s="84"/>
      <c r="G53" s="78"/>
      <c r="H53" s="79"/>
      <c r="I53" s="76"/>
      <c r="J53" s="76"/>
      <c r="K53" s="77"/>
      <c r="L53" s="78"/>
      <c r="M53" s="86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</row>
    <row r="54" spans="1:26" x14ac:dyDescent="0.2">
      <c r="A54" s="1"/>
      <c r="B54" s="46" t="s">
        <v>84</v>
      </c>
      <c r="C54" s="116"/>
      <c r="D54" s="116"/>
      <c r="E54" s="3">
        <f>SUMIF(Table4491423426[Category],"Events",Table4491423426[Amount])</f>
        <v>0</v>
      </c>
      <c r="F54" s="84"/>
      <c r="G54" s="78"/>
      <c r="H54" s="79"/>
      <c r="I54" s="76"/>
      <c r="J54" s="76"/>
      <c r="K54" s="77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</row>
    <row r="55" spans="1:26" x14ac:dyDescent="0.2">
      <c r="A55" s="1"/>
      <c r="B55" s="81" t="s">
        <v>73</v>
      </c>
      <c r="C55" s="116"/>
      <c r="D55" s="94">
        <f>SUM(E56:E59)</f>
        <v>0</v>
      </c>
      <c r="E55" s="3"/>
      <c r="F55" s="87">
        <f>SUM(F56:F59)</f>
        <v>0</v>
      </c>
      <c r="G55" s="78"/>
      <c r="H55" s="79"/>
      <c r="I55" s="76"/>
      <c r="J55" s="76"/>
      <c r="K55" s="77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</row>
    <row r="56" spans="1:26" x14ac:dyDescent="0.2">
      <c r="A56" s="1"/>
      <c r="B56" s="46" t="s">
        <v>74</v>
      </c>
      <c r="C56" s="116"/>
      <c r="D56" s="116"/>
      <c r="E56" s="3">
        <f>SUMIF(Table4491423426[Category],"Clothes",Table4491423426[Amount])</f>
        <v>0</v>
      </c>
      <c r="F56" s="84"/>
      <c r="G56" s="78"/>
      <c r="H56" s="79"/>
      <c r="I56" s="76"/>
      <c r="J56" s="76"/>
      <c r="K56" s="77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</row>
    <row r="57" spans="1:26" ht="17" thickBot="1" x14ac:dyDescent="0.25">
      <c r="A57" s="1"/>
      <c r="B57" s="46" t="s">
        <v>75</v>
      </c>
      <c r="C57" s="116"/>
      <c r="D57" s="116"/>
      <c r="E57" s="3">
        <f>SUMIF(Table4491423426[Category],"Accessories",Table4491423426[Amount])</f>
        <v>0</v>
      </c>
      <c r="F57" s="84"/>
      <c r="G57" s="78"/>
      <c r="H57" s="12" t="s">
        <v>208</v>
      </c>
      <c r="I57" s="9"/>
      <c r="J57" s="9"/>
      <c r="K57" s="10">
        <f>SUM(K22:K56)</f>
        <v>0</v>
      </c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</row>
    <row r="58" spans="1:26" x14ac:dyDescent="0.2">
      <c r="A58" s="1"/>
      <c r="B58" s="46" t="s">
        <v>76</v>
      </c>
      <c r="C58" s="116"/>
      <c r="D58" s="116"/>
      <c r="E58" s="3">
        <f>SUMIF(Table4491423426[Category],"Gifts",Table4491423426[Amount])</f>
        <v>0</v>
      </c>
      <c r="F58" s="84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</row>
    <row r="59" spans="1:26" ht="16" thickBot="1" x14ac:dyDescent="0.25">
      <c r="A59" s="78"/>
      <c r="B59" s="46" t="s">
        <v>81</v>
      </c>
      <c r="C59" s="116"/>
      <c r="D59" s="116"/>
      <c r="E59" s="3">
        <f>SUMIF(Table4491423426[Category],"Cosmetics",Table4491423426[Amount])</f>
        <v>0</v>
      </c>
      <c r="F59" s="84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</row>
    <row r="60" spans="1:26" x14ac:dyDescent="0.2">
      <c r="A60" s="78"/>
      <c r="B60" s="81" t="s">
        <v>77</v>
      </c>
      <c r="C60" s="116"/>
      <c r="D60" s="94">
        <f>SUMIF(Table4491423426[Category],"Hobbies",Table4491423426[Amount])</f>
        <v>0</v>
      </c>
      <c r="E60" s="3"/>
      <c r="F60" s="87">
        <v>0</v>
      </c>
      <c r="G60" s="78"/>
      <c r="H60" s="145" t="s">
        <v>103</v>
      </c>
      <c r="I60" s="146"/>
      <c r="J60" s="146"/>
      <c r="K60" s="147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</row>
    <row r="61" spans="1:26" x14ac:dyDescent="0.2">
      <c r="A61" s="78"/>
      <c r="B61" s="81"/>
      <c r="C61" s="116"/>
      <c r="D61" s="74"/>
      <c r="E61" s="3"/>
      <c r="F61" s="84"/>
      <c r="G61" s="78"/>
      <c r="H61" s="190"/>
      <c r="I61" s="149"/>
      <c r="J61" s="149"/>
      <c r="K61" s="150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</row>
    <row r="62" spans="1:26" ht="16" thickBot="1" x14ac:dyDescent="0.25">
      <c r="A62" s="78"/>
      <c r="B62" s="83" t="s">
        <v>4</v>
      </c>
      <c r="C62" s="82"/>
      <c r="D62" s="82"/>
      <c r="E62" s="90">
        <f>SUM(D31,D34,D40,D46,D52,D55,D60)</f>
        <v>0</v>
      </c>
      <c r="F62" s="85">
        <f>SUM(F31,F34,F40,F46,F52,F55,F60)</f>
        <v>0</v>
      </c>
      <c r="G62" s="78"/>
      <c r="H62" s="190"/>
      <c r="I62" s="149"/>
      <c r="J62" s="149"/>
      <c r="K62" s="150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</row>
    <row r="63" spans="1:26" x14ac:dyDescent="0.2">
      <c r="A63" s="78"/>
      <c r="B63" s="100"/>
      <c r="C63" s="101"/>
      <c r="D63" s="101"/>
      <c r="E63" s="102"/>
      <c r="F63" s="84"/>
      <c r="G63" s="78"/>
      <c r="H63" s="144"/>
      <c r="I63" s="149"/>
      <c r="J63" s="149"/>
      <c r="K63" s="150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</row>
    <row r="64" spans="1:26" x14ac:dyDescent="0.2">
      <c r="A64" s="78"/>
      <c r="B64" s="103" t="s">
        <v>85</v>
      </c>
      <c r="C64" s="104" t="e">
        <f>(D65)/(E81+E62)</f>
        <v>#DIV/0!</v>
      </c>
      <c r="D64" s="101"/>
      <c r="E64" s="102"/>
      <c r="F64" s="84"/>
      <c r="G64" s="78"/>
      <c r="H64" s="144"/>
      <c r="I64" s="149"/>
      <c r="J64" s="149"/>
      <c r="K64" s="150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</row>
    <row r="65" spans="1:26" x14ac:dyDescent="0.2">
      <c r="A65" s="78"/>
      <c r="B65" s="105" t="s">
        <v>94</v>
      </c>
      <c r="C65" s="101"/>
      <c r="D65" s="106">
        <f>SUM(E66:E68)</f>
        <v>0</v>
      </c>
      <c r="E65" s="102"/>
      <c r="F65" s="87">
        <f>SUM(F66:F68)</f>
        <v>0</v>
      </c>
      <c r="G65" s="78"/>
      <c r="H65" s="144"/>
      <c r="I65" s="149"/>
      <c r="J65" s="149"/>
      <c r="K65" s="150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</row>
    <row r="66" spans="1:26" x14ac:dyDescent="0.2">
      <c r="A66" s="78"/>
      <c r="B66" s="107" t="s">
        <v>88</v>
      </c>
      <c r="C66" s="101"/>
      <c r="D66" s="101"/>
      <c r="E66" s="102">
        <f>SUMIF(Table4491423426[Category],"Emergency Fund",Table4491423426[Amount])</f>
        <v>0</v>
      </c>
      <c r="F66" s="84"/>
      <c r="G66" s="78"/>
      <c r="H66" s="144"/>
      <c r="I66" s="149"/>
      <c r="J66" s="149"/>
      <c r="K66" s="150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</row>
    <row r="67" spans="1:26" x14ac:dyDescent="0.2">
      <c r="A67" s="78"/>
      <c r="B67" s="107" t="s">
        <v>55</v>
      </c>
      <c r="C67" s="101"/>
      <c r="D67" s="101"/>
      <c r="E67" s="102">
        <f>SUMIF(Table4491423426[Category],"Retirement",Table4491423426[Amount])</f>
        <v>0</v>
      </c>
      <c r="F67" s="84"/>
      <c r="G67" s="78"/>
      <c r="H67" s="144"/>
      <c r="I67" s="149"/>
      <c r="J67" s="149"/>
      <c r="K67" s="150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</row>
    <row r="68" spans="1:26" ht="14.25" customHeight="1" x14ac:dyDescent="0.2">
      <c r="A68" s="78"/>
      <c r="B68" s="107" t="s">
        <v>53</v>
      </c>
      <c r="C68" s="101"/>
      <c r="D68" s="101"/>
      <c r="E68" s="102">
        <f>SUMIF(Table4491423426[Category],"Investment",Table4491423426[Amount])</f>
        <v>0</v>
      </c>
      <c r="F68" s="84"/>
      <c r="G68" s="78"/>
      <c r="H68" s="144"/>
      <c r="I68" s="149"/>
      <c r="J68" s="149"/>
      <c r="K68" s="150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</row>
    <row r="69" spans="1:26" x14ac:dyDescent="0.2">
      <c r="A69" s="78"/>
      <c r="B69" s="100"/>
      <c r="C69" s="101"/>
      <c r="D69" s="101"/>
      <c r="E69" s="102"/>
      <c r="F69" s="84"/>
      <c r="G69" s="78"/>
      <c r="H69" s="144"/>
      <c r="I69" s="149"/>
      <c r="J69" s="149"/>
      <c r="K69" s="150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</row>
    <row r="70" spans="1:26" x14ac:dyDescent="0.2">
      <c r="A70" s="78"/>
      <c r="B70" s="103" t="s">
        <v>86</v>
      </c>
      <c r="C70" s="104" t="e">
        <f>D71/(E81+E62)</f>
        <v>#DIV/0!</v>
      </c>
      <c r="D70" s="101"/>
      <c r="E70" s="102"/>
      <c r="F70" s="84"/>
      <c r="G70" s="78"/>
      <c r="H70" s="144"/>
      <c r="I70" s="149"/>
      <c r="J70" s="149"/>
      <c r="K70" s="150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</row>
    <row r="71" spans="1:26" x14ac:dyDescent="0.2">
      <c r="A71" s="52"/>
      <c r="B71" s="105" t="s">
        <v>95</v>
      </c>
      <c r="C71" s="108"/>
      <c r="D71" s="106">
        <f>SUM(E72:E73)</f>
        <v>0</v>
      </c>
      <c r="E71" s="109"/>
      <c r="F71" s="87">
        <f>SUM(F72:F73)</f>
        <v>0</v>
      </c>
      <c r="G71" s="78"/>
      <c r="H71" s="144"/>
      <c r="I71" s="149"/>
      <c r="J71" s="149"/>
      <c r="K71" s="150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</row>
    <row r="72" spans="1:26" x14ac:dyDescent="0.2">
      <c r="A72" s="78"/>
      <c r="B72" s="110" t="s">
        <v>43</v>
      </c>
      <c r="C72" s="101"/>
      <c r="D72" s="101"/>
      <c r="E72" s="102">
        <f>SUMIF(Table4491423426[Category],"Donations",Table4491423426[Amount])</f>
        <v>0</v>
      </c>
      <c r="F72" s="84"/>
      <c r="G72" s="78"/>
      <c r="H72" s="144"/>
      <c r="I72" s="149"/>
      <c r="J72" s="149"/>
      <c r="K72" s="150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</row>
    <row r="73" spans="1:26" x14ac:dyDescent="0.2">
      <c r="A73" s="78"/>
      <c r="B73" s="110" t="s">
        <v>90</v>
      </c>
      <c r="C73" s="101"/>
      <c r="D73" s="101"/>
      <c r="E73" s="102">
        <f>SUMIF(Table4491423426[Category],"Offering",Table4491423426[Amount])</f>
        <v>0</v>
      </c>
      <c r="F73" s="84"/>
      <c r="G73" s="78"/>
      <c r="H73" s="144"/>
      <c r="I73" s="149"/>
      <c r="J73" s="149"/>
      <c r="K73" s="150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</row>
    <row r="74" spans="1:26" x14ac:dyDescent="0.2">
      <c r="A74" s="78"/>
      <c r="B74" s="110"/>
      <c r="C74" s="101"/>
      <c r="D74" s="101"/>
      <c r="E74" s="102"/>
      <c r="F74" s="84"/>
      <c r="G74" s="78"/>
      <c r="H74" s="144"/>
      <c r="I74" s="149"/>
      <c r="J74" s="149"/>
      <c r="K74" s="150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</row>
    <row r="75" spans="1:26" x14ac:dyDescent="0.2">
      <c r="A75" s="78"/>
      <c r="B75" s="111" t="s">
        <v>89</v>
      </c>
      <c r="C75" s="104" t="e">
        <f>D76/(E81+E62)</f>
        <v>#DIV/0!</v>
      </c>
      <c r="D75" s="101"/>
      <c r="E75" s="102"/>
      <c r="F75" s="84"/>
      <c r="G75" s="78"/>
      <c r="H75" s="144"/>
      <c r="I75" s="149"/>
      <c r="J75" s="149"/>
      <c r="K75" s="150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</row>
    <row r="76" spans="1:26" x14ac:dyDescent="0.2">
      <c r="A76" s="78"/>
      <c r="B76" s="112" t="s">
        <v>104</v>
      </c>
      <c r="C76" s="101"/>
      <c r="D76" s="106">
        <f>SUM(E77:E79)</f>
        <v>0</v>
      </c>
      <c r="E76" s="102"/>
      <c r="F76" s="87">
        <f>SUM(F77:F79)</f>
        <v>0</v>
      </c>
      <c r="G76" s="78"/>
      <c r="H76" s="144"/>
      <c r="I76" s="149"/>
      <c r="J76" s="149"/>
      <c r="K76" s="150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</row>
    <row r="77" spans="1:26" x14ac:dyDescent="0.2">
      <c r="A77" s="78"/>
      <c r="B77" s="110" t="s">
        <v>92</v>
      </c>
      <c r="C77" s="101"/>
      <c r="D77" s="101"/>
      <c r="E77" s="102">
        <f>SUMIF(Table4491423426[Category],"Student Loan",Table4491423426[Amount])</f>
        <v>0</v>
      </c>
      <c r="F77" s="84"/>
      <c r="G77" s="78"/>
      <c r="H77" s="144"/>
      <c r="I77" s="149"/>
      <c r="J77" s="149"/>
      <c r="K77" s="150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</row>
    <row r="78" spans="1:26" x14ac:dyDescent="0.2">
      <c r="A78" s="78"/>
      <c r="B78" s="107" t="s">
        <v>91</v>
      </c>
      <c r="C78" s="101"/>
      <c r="D78" s="101"/>
      <c r="E78" s="102">
        <f>SUMIF(Table4491423426[Category],"Credit Card",Table4491423426[Amount])</f>
        <v>0</v>
      </c>
      <c r="F78" s="84"/>
      <c r="G78" s="78"/>
      <c r="H78" s="144"/>
      <c r="I78" s="149"/>
      <c r="J78" s="149"/>
      <c r="K78" s="150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</row>
    <row r="79" spans="1:26" x14ac:dyDescent="0.2">
      <c r="A79" s="78"/>
      <c r="B79" s="110" t="s">
        <v>93</v>
      </c>
      <c r="C79" s="101"/>
      <c r="D79" s="101"/>
      <c r="E79" s="102">
        <f>SUMIF(Table4491423426[Category],"Car",Table4491423426[Amount])</f>
        <v>0</v>
      </c>
      <c r="F79" s="84"/>
      <c r="G79" s="1"/>
      <c r="H79" s="144"/>
      <c r="I79" s="149"/>
      <c r="J79" s="149"/>
      <c r="K79" s="150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</row>
    <row r="80" spans="1:26" s="54" customFormat="1" x14ac:dyDescent="0.2">
      <c r="A80" s="78"/>
      <c r="B80" s="111"/>
      <c r="C80" s="101"/>
      <c r="D80" s="101"/>
      <c r="E80" s="102"/>
      <c r="F80" s="84"/>
      <c r="G80" s="53"/>
      <c r="H80" s="148"/>
      <c r="I80" s="151"/>
      <c r="J80" s="151"/>
      <c r="K80" s="1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spans="1:26" ht="16" thickBot="1" x14ac:dyDescent="0.25">
      <c r="A81" s="78"/>
      <c r="B81" s="113" t="s">
        <v>35</v>
      </c>
      <c r="C81" s="114"/>
      <c r="D81" s="114"/>
      <c r="E81" s="115">
        <f>SUM(D65,D76,D71)</f>
        <v>0</v>
      </c>
      <c r="F81" s="85">
        <f>SUM(F65,F71,F76)</f>
        <v>0</v>
      </c>
      <c r="G81" s="1"/>
      <c r="H81" s="153"/>
      <c r="I81" s="154"/>
      <c r="J81" s="154"/>
      <c r="K81" s="155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</row>
    <row r="82" spans="1:26" x14ac:dyDescent="0.2">
      <c r="A82" s="78"/>
      <c r="B82" s="78"/>
      <c r="C82" s="78"/>
      <c r="D82" s="78"/>
      <c r="E82" s="78"/>
      <c r="F82" s="78"/>
      <c r="G82" s="1"/>
      <c r="H82" s="1"/>
      <c r="I82" s="1"/>
      <c r="J82" s="1"/>
      <c r="K82" s="1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</row>
    <row r="83" spans="1:26" ht="16" thickBot="1" x14ac:dyDescent="0.25">
      <c r="A83" s="78"/>
      <c r="B83" s="78"/>
      <c r="C83" s="78"/>
      <c r="D83" s="78"/>
      <c r="E83" s="78"/>
      <c r="F83" s="78"/>
      <c r="G83" s="1"/>
      <c r="H83" s="1"/>
      <c r="I83" s="1"/>
      <c r="J83" s="1"/>
      <c r="K83" s="1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</row>
    <row r="84" spans="1:26" x14ac:dyDescent="0.2">
      <c r="A84" s="78"/>
      <c r="B84" s="195" t="str">
        <f>B30</f>
        <v>LIVING EXPENSES</v>
      </c>
      <c r="C84" s="196" t="e">
        <f>C30</f>
        <v>#DIV/0!</v>
      </c>
      <c r="D84" s="78"/>
      <c r="E84" s="78"/>
      <c r="F84" s="78"/>
      <c r="G84" s="78"/>
      <c r="H84" s="1"/>
      <c r="I84" s="1"/>
      <c r="J84" s="1"/>
      <c r="K84" s="1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</row>
    <row r="85" spans="1:26" x14ac:dyDescent="0.2">
      <c r="A85" s="78"/>
      <c r="B85" s="144" t="str">
        <f>B51</f>
        <v>INDULGENCE EXPENSES</v>
      </c>
      <c r="C85" s="197" t="e">
        <f>C51</f>
        <v>#DIV/0!</v>
      </c>
      <c r="D85" s="78"/>
      <c r="E85" s="78"/>
      <c r="F85" s="78"/>
      <c r="G85" s="78"/>
      <c r="H85" s="1"/>
      <c r="I85" s="1"/>
      <c r="J85" s="1"/>
      <c r="K85" s="1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</row>
    <row r="86" spans="1:26" x14ac:dyDescent="0.2">
      <c r="A86" s="78"/>
      <c r="B86" s="144" t="str">
        <f>B64</f>
        <v>SAVINGS</v>
      </c>
      <c r="C86" s="197" t="e">
        <f>C64</f>
        <v>#DIV/0!</v>
      </c>
      <c r="D86" s="78"/>
      <c r="E86" s="78"/>
      <c r="F86" s="78"/>
      <c r="G86" s="78"/>
      <c r="H86" s="1"/>
      <c r="I86" s="1"/>
      <c r="J86" s="1"/>
      <c r="K86" s="1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</row>
    <row r="87" spans="1:26" x14ac:dyDescent="0.2">
      <c r="A87" s="78"/>
      <c r="B87" s="144" t="str">
        <f>B70</f>
        <v>TITHINGS</v>
      </c>
      <c r="C87" s="197" t="e">
        <f>C70</f>
        <v>#DIV/0!</v>
      </c>
      <c r="D87" s="78"/>
      <c r="E87" s="78"/>
      <c r="F87" s="78"/>
      <c r="G87" s="78"/>
      <c r="H87" s="1"/>
      <c r="I87" s="1"/>
      <c r="J87" s="1"/>
      <c r="K87" s="1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</row>
    <row r="88" spans="1:26" ht="16" thickBot="1" x14ac:dyDescent="0.25">
      <c r="A88" s="78"/>
      <c r="B88" s="153" t="str">
        <f>B75</f>
        <v>DEBT REPAYMENT</v>
      </c>
      <c r="C88" s="198" t="e">
        <f>C75</f>
        <v>#DIV/0!</v>
      </c>
      <c r="D88" s="78"/>
      <c r="E88" s="78"/>
      <c r="F88" s="78"/>
      <c r="G88" s="78"/>
      <c r="H88" s="1"/>
      <c r="I88" s="1"/>
      <c r="J88" s="1"/>
      <c r="K88" s="1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</row>
    <row r="89" spans="1:26" x14ac:dyDescent="0.2">
      <c r="A89" s="78"/>
      <c r="B89" s="78"/>
      <c r="C89" s="78"/>
      <c r="D89" s="78"/>
      <c r="E89" s="78"/>
      <c r="F89" s="78"/>
      <c r="G89" s="78"/>
      <c r="H89" s="1"/>
      <c r="I89" s="1"/>
      <c r="J89" s="1"/>
      <c r="K89" s="1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</row>
    <row r="90" spans="1:26" x14ac:dyDescent="0.2">
      <c r="A90" s="78"/>
      <c r="B90" s="78"/>
      <c r="C90" s="78"/>
      <c r="D90" s="78"/>
      <c r="E90" s="78"/>
      <c r="F90" s="78"/>
      <c r="G90" s="78"/>
      <c r="H90" s="1"/>
      <c r="I90" s="1"/>
      <c r="J90" s="1"/>
      <c r="K90" s="1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</row>
    <row r="91" spans="1:26" x14ac:dyDescent="0.2">
      <c r="A91" s="78"/>
      <c r="B91" s="78"/>
      <c r="C91" s="78"/>
      <c r="D91" s="78"/>
      <c r="E91" s="78"/>
      <c r="F91" s="78"/>
      <c r="G91" s="78"/>
      <c r="H91" s="1"/>
      <c r="I91" s="1"/>
      <c r="J91" s="1"/>
      <c r="K91" s="1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</row>
    <row r="92" spans="1:26" x14ac:dyDescent="0.2">
      <c r="A92" s="78"/>
      <c r="B92" s="78"/>
      <c r="C92" s="78"/>
      <c r="D92" s="78"/>
      <c r="E92" s="78"/>
      <c r="F92" s="78"/>
      <c r="G92" s="78"/>
      <c r="H92" s="1"/>
      <c r="I92" s="1"/>
      <c r="J92" s="1"/>
      <c r="K92" s="1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</row>
    <row r="93" spans="1:26" x14ac:dyDescent="0.2">
      <c r="A93" s="78"/>
      <c r="B93" s="78"/>
      <c r="C93" s="78"/>
      <c r="D93" s="78"/>
      <c r="E93" s="78"/>
      <c r="F93" s="78"/>
      <c r="G93" s="78"/>
      <c r="H93" s="1"/>
      <c r="I93" s="1"/>
      <c r="J93" s="1"/>
      <c r="K93" s="1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</row>
    <row r="94" spans="1:26" x14ac:dyDescent="0.2">
      <c r="A94" s="78"/>
      <c r="B94" s="78"/>
      <c r="C94" s="78"/>
      <c r="D94" s="78"/>
      <c r="E94" s="78"/>
      <c r="F94" s="78"/>
      <c r="G94" s="78"/>
      <c r="H94" s="1"/>
      <c r="I94" s="1"/>
      <c r="J94" s="1"/>
      <c r="K94" s="1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</row>
    <row r="95" spans="1:26" x14ac:dyDescent="0.2">
      <c r="A95" s="78"/>
      <c r="B95" s="78"/>
      <c r="C95" s="78"/>
      <c r="D95" s="78"/>
      <c r="E95" s="78"/>
      <c r="F95" s="78"/>
      <c r="G95" s="78"/>
      <c r="H95" s="1"/>
      <c r="I95" s="1"/>
      <c r="J95" s="1"/>
      <c r="K95" s="1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</row>
    <row r="96" spans="1:26" x14ac:dyDescent="0.2">
      <c r="A96" s="78"/>
      <c r="B96" s="78"/>
      <c r="C96" s="78"/>
      <c r="D96" s="78"/>
      <c r="E96" s="78"/>
      <c r="F96" s="78"/>
      <c r="G96" s="1"/>
      <c r="H96" s="1"/>
      <c r="I96" s="1"/>
      <c r="J96" s="1"/>
      <c r="K96" s="1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</row>
    <row r="97" spans="1:26" x14ac:dyDescent="0.2">
      <c r="A97" s="78"/>
      <c r="B97" s="78"/>
      <c r="C97" s="78"/>
      <c r="D97" s="78"/>
      <c r="E97" s="78"/>
      <c r="F97" s="78"/>
      <c r="G97" s="1"/>
      <c r="H97" s="1"/>
      <c r="I97" s="1"/>
      <c r="J97" s="1"/>
      <c r="K97" s="1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</row>
    <row r="98" spans="1:26" x14ac:dyDescent="0.2">
      <c r="A98" s="78"/>
      <c r="B98" s="78"/>
      <c r="C98" s="78"/>
      <c r="D98" s="78"/>
      <c r="E98" s="78"/>
      <c r="F98" s="78"/>
      <c r="G98" s="1"/>
      <c r="H98" s="1"/>
      <c r="I98" s="1"/>
      <c r="J98" s="1"/>
      <c r="K98" s="1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</row>
    <row r="99" spans="1:26" x14ac:dyDescent="0.2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</row>
    <row r="100" spans="1:26" x14ac:dyDescent="0.2">
      <c r="A100" s="78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</row>
    <row r="101" spans="1:26" x14ac:dyDescent="0.2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</row>
    <row r="102" spans="1:26" x14ac:dyDescent="0.2">
      <c r="A102" s="78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</row>
    <row r="103" spans="1:26" x14ac:dyDescent="0.2">
      <c r="A103" s="78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</row>
    <row r="104" spans="1:26" x14ac:dyDescent="0.2">
      <c r="A104" s="78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</row>
    <row r="105" spans="1:26" x14ac:dyDescent="0.2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</row>
    <row r="106" spans="1:26" x14ac:dyDescent="0.2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</row>
    <row r="107" spans="1:26" x14ac:dyDescent="0.2">
      <c r="A107" s="78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</row>
    <row r="108" spans="1:26" x14ac:dyDescent="0.2">
      <c r="A108" s="78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</row>
  </sheetData>
  <mergeCells count="11">
    <mergeCell ref="D9:E9"/>
    <mergeCell ref="B2:I2"/>
    <mergeCell ref="B6:C6"/>
    <mergeCell ref="D6:F6"/>
    <mergeCell ref="D7:E7"/>
    <mergeCell ref="D8:E8"/>
    <mergeCell ref="D10:E10"/>
    <mergeCell ref="D12:E12"/>
    <mergeCell ref="D13:E13"/>
    <mergeCell ref="B15:F15"/>
    <mergeCell ref="H20:K20"/>
  </mergeCells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C8417-4F90-48CB-905A-60DFB159ACB2}">
  <dimension ref="A1:Z108"/>
  <sheetViews>
    <sheetView workbookViewId="0"/>
  </sheetViews>
  <sheetFormatPr baseColWidth="10" defaultColWidth="9.1640625" defaultRowHeight="15" x14ac:dyDescent="0.2"/>
  <cols>
    <col min="1" max="1" width="10.6640625" style="75" customWidth="1"/>
    <col min="2" max="2" width="21.1640625" style="75" customWidth="1"/>
    <col min="3" max="6" width="10.6640625" style="75" customWidth="1"/>
    <col min="7" max="7" width="11" style="75" customWidth="1"/>
    <col min="8" max="8" width="12.6640625" style="75" customWidth="1"/>
    <col min="9" max="9" width="31.5" style="75" customWidth="1"/>
    <col min="10" max="10" width="15.6640625" style="75" customWidth="1"/>
    <col min="11" max="11" width="11.6640625" style="75" customWidth="1"/>
    <col min="12" max="13" width="9.1640625" style="75"/>
    <col min="14" max="19" width="10.6640625" style="75" customWidth="1"/>
    <col min="20" max="16384" width="9.1640625" style="75"/>
  </cols>
  <sheetData>
    <row r="1" spans="1:26" ht="16" thickBo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ht="20" thickBot="1" x14ac:dyDescent="0.3">
      <c r="A2" s="78"/>
      <c r="B2" s="214" t="s">
        <v>122</v>
      </c>
      <c r="C2" s="215"/>
      <c r="D2" s="215"/>
      <c r="E2" s="215"/>
      <c r="F2" s="215"/>
      <c r="G2" s="215"/>
      <c r="H2" s="215"/>
      <c r="I2" s="216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26" x14ac:dyDescent="0.2">
      <c r="A3" s="78"/>
      <c r="B3" s="140" t="s">
        <v>59</v>
      </c>
      <c r="C3" s="141" t="s">
        <v>20</v>
      </c>
      <c r="D3" s="141" t="s">
        <v>52</v>
      </c>
      <c r="E3" s="141" t="s">
        <v>12</v>
      </c>
      <c r="F3" s="142" t="s">
        <v>54</v>
      </c>
      <c r="G3" s="142" t="s">
        <v>14</v>
      </c>
      <c r="H3" s="142" t="s">
        <v>60</v>
      </c>
      <c r="I3" s="143" t="s">
        <v>55</v>
      </c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26" ht="16" thickBot="1" x14ac:dyDescent="0.25">
      <c r="A4" s="78"/>
      <c r="B4" s="95">
        <v>0</v>
      </c>
      <c r="C4" s="96">
        <v>0</v>
      </c>
      <c r="D4" s="96">
        <v>0</v>
      </c>
      <c r="E4" s="96">
        <v>0</v>
      </c>
      <c r="F4" s="97">
        <v>0</v>
      </c>
      <c r="G4" s="98">
        <v>0</v>
      </c>
      <c r="H4" s="98">
        <v>0</v>
      </c>
      <c r="I4" s="99">
        <v>0</v>
      </c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26" ht="16" thickBot="1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spans="1:26" ht="19" x14ac:dyDescent="0.25">
      <c r="A6" s="78"/>
      <c r="B6" s="217" t="s">
        <v>11</v>
      </c>
      <c r="C6" s="218"/>
      <c r="D6" s="219" t="s">
        <v>13</v>
      </c>
      <c r="E6" s="220"/>
      <c r="F6" s="221"/>
      <c r="G6" s="78"/>
      <c r="H6" s="1"/>
      <c r="I6" s="1"/>
      <c r="J6" s="1"/>
      <c r="K6" s="1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pans="1:26" x14ac:dyDescent="0.2">
      <c r="A7" s="78"/>
      <c r="B7" s="117" t="s">
        <v>2</v>
      </c>
      <c r="C7" s="118">
        <v>0</v>
      </c>
      <c r="D7" s="222" t="str">
        <f t="shared" ref="D7:D13" si="0">B7</f>
        <v>Income</v>
      </c>
      <c r="E7" s="223"/>
      <c r="F7" s="119">
        <f>F27</f>
        <v>0</v>
      </c>
      <c r="G7" s="78"/>
      <c r="H7" s="1"/>
      <c r="I7" s="1"/>
      <c r="J7" s="1"/>
      <c r="K7" s="1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</row>
    <row r="8" spans="1:26" x14ac:dyDescent="0.2">
      <c r="A8" s="78"/>
      <c r="B8" s="120" t="s">
        <v>12</v>
      </c>
      <c r="C8" s="121">
        <f>SUM(F66:F68)</f>
        <v>0</v>
      </c>
      <c r="D8" s="228" t="str">
        <f t="shared" si="0"/>
        <v>Savings</v>
      </c>
      <c r="E8" s="229"/>
      <c r="F8" s="122">
        <f>D65</f>
        <v>0</v>
      </c>
      <c r="G8" s="78"/>
      <c r="H8" s="1"/>
      <c r="I8" s="1"/>
      <c r="J8" s="1"/>
      <c r="K8" s="1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</row>
    <row r="9" spans="1:26" x14ac:dyDescent="0.2">
      <c r="A9" s="78"/>
      <c r="B9" s="123" t="s">
        <v>120</v>
      </c>
      <c r="C9" s="124">
        <f>SUM(F72:F73)</f>
        <v>0</v>
      </c>
      <c r="D9" s="232" t="str">
        <f t="shared" si="0"/>
        <v>Tithing</v>
      </c>
      <c r="E9" s="232"/>
      <c r="F9" s="125">
        <f>D71</f>
        <v>0</v>
      </c>
      <c r="G9" s="78"/>
      <c r="H9" s="1"/>
      <c r="I9" s="1"/>
      <c r="J9" s="1"/>
      <c r="K9" s="1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</row>
    <row r="10" spans="1:26" x14ac:dyDescent="0.2">
      <c r="A10" s="78"/>
      <c r="B10" s="126" t="s">
        <v>14</v>
      </c>
      <c r="C10" s="127">
        <f>SUM(F77:F79)</f>
        <v>0</v>
      </c>
      <c r="D10" s="230" t="str">
        <f t="shared" si="0"/>
        <v>Debt</v>
      </c>
      <c r="E10" s="231"/>
      <c r="F10" s="128">
        <f>D76</f>
        <v>0</v>
      </c>
      <c r="G10" s="78"/>
      <c r="H10" s="1"/>
      <c r="I10" s="1"/>
      <c r="J10" s="1"/>
      <c r="K10" s="1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</row>
    <row r="11" spans="1:26" x14ac:dyDescent="0.2">
      <c r="A11" s="78"/>
      <c r="B11" s="129" t="s">
        <v>124</v>
      </c>
      <c r="C11" s="130">
        <f>C7-C8-C9-C10</f>
        <v>0</v>
      </c>
      <c r="D11" s="131" t="str">
        <f t="shared" si="0"/>
        <v>Budgeted</v>
      </c>
      <c r="E11" s="132"/>
      <c r="F11" s="133">
        <f>F7-F8-F9-F10</f>
        <v>0</v>
      </c>
      <c r="G11" s="78"/>
      <c r="H11" s="1"/>
      <c r="I11" s="1"/>
      <c r="J11" s="1"/>
      <c r="K11" s="1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</row>
    <row r="12" spans="1:26" x14ac:dyDescent="0.2">
      <c r="A12" s="78"/>
      <c r="B12" s="134" t="s">
        <v>0</v>
      </c>
      <c r="C12" s="135">
        <f>F62</f>
        <v>0</v>
      </c>
      <c r="D12" s="224" t="str">
        <f t="shared" si="0"/>
        <v>Expenses</v>
      </c>
      <c r="E12" s="225"/>
      <c r="F12" s="136">
        <f>E62</f>
        <v>0</v>
      </c>
      <c r="G12" s="78"/>
      <c r="H12" s="1"/>
      <c r="I12" s="1"/>
      <c r="J12" s="1"/>
      <c r="K12" s="1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</row>
    <row r="13" spans="1:26" ht="16" thickBot="1" x14ac:dyDescent="0.25">
      <c r="A13" s="78"/>
      <c r="B13" s="137" t="s">
        <v>123</v>
      </c>
      <c r="C13" s="138">
        <f>C11-C12</f>
        <v>0</v>
      </c>
      <c r="D13" s="226" t="str">
        <f t="shared" si="0"/>
        <v>Remaining</v>
      </c>
      <c r="E13" s="227"/>
      <c r="F13" s="139">
        <f>F11-F12</f>
        <v>0</v>
      </c>
      <c r="G13" s="78"/>
      <c r="H13" s="1"/>
      <c r="I13" s="1"/>
      <c r="J13" s="1"/>
      <c r="K13" s="1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</row>
    <row r="14" spans="1:26" ht="16" thickBot="1" x14ac:dyDescent="0.25">
      <c r="A14" s="78"/>
      <c r="B14" s="78"/>
      <c r="C14" s="78"/>
      <c r="D14" s="78"/>
      <c r="E14" s="78"/>
      <c r="F14" s="78"/>
      <c r="G14" s="78"/>
      <c r="H14" s="1"/>
      <c r="I14" s="1"/>
      <c r="J14" s="1"/>
      <c r="K14" s="1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</row>
    <row r="15" spans="1:26" ht="20" thickBot="1" x14ac:dyDescent="0.3">
      <c r="A15" s="78"/>
      <c r="B15" s="214" t="s">
        <v>9</v>
      </c>
      <c r="C15" s="215"/>
      <c r="D15" s="215"/>
      <c r="E15" s="215"/>
      <c r="F15" s="216"/>
      <c r="G15" s="78"/>
      <c r="H15" s="1"/>
      <c r="I15" s="1"/>
      <c r="J15" s="1"/>
      <c r="K15" s="1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</row>
    <row r="16" spans="1:26" ht="17" thickBot="1" x14ac:dyDescent="0.25">
      <c r="A16" s="78"/>
      <c r="B16" s="63" t="s">
        <v>2</v>
      </c>
      <c r="C16" s="64"/>
      <c r="D16" s="65"/>
      <c r="E16" s="65"/>
      <c r="F16" s="66"/>
      <c r="G16" s="78"/>
      <c r="H16" s="1"/>
      <c r="I16" s="1"/>
      <c r="J16" s="1"/>
      <c r="K16" s="1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</row>
    <row r="17" spans="1:26" x14ac:dyDescent="0.2">
      <c r="A17" s="78"/>
      <c r="B17" s="4"/>
      <c r="C17" s="2"/>
      <c r="D17" s="2"/>
      <c r="E17" s="2"/>
      <c r="F17" s="62"/>
      <c r="G17" s="78"/>
      <c r="H17" s="1"/>
      <c r="I17" s="1"/>
      <c r="J17" s="1"/>
      <c r="K17" s="1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</row>
    <row r="18" spans="1:26" x14ac:dyDescent="0.2">
      <c r="A18" s="78"/>
      <c r="B18" s="4"/>
      <c r="C18" s="2"/>
      <c r="D18" s="2"/>
      <c r="E18" s="2"/>
      <c r="F18" s="55"/>
      <c r="G18" s="78"/>
      <c r="H18" s="1"/>
      <c r="I18" s="1"/>
      <c r="J18" s="1"/>
      <c r="K18" s="1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</row>
    <row r="19" spans="1:26" ht="16" thickBot="1" x14ac:dyDescent="0.25">
      <c r="A19" s="78"/>
      <c r="B19" s="4"/>
      <c r="C19" s="2"/>
      <c r="D19" s="2"/>
      <c r="E19" s="2"/>
      <c r="F19" s="55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</row>
    <row r="20" spans="1:26" ht="20" thickBot="1" x14ac:dyDescent="0.3">
      <c r="A20" s="78"/>
      <c r="B20" s="4"/>
      <c r="C20" s="2"/>
      <c r="D20" s="2"/>
      <c r="E20" s="2"/>
      <c r="F20" s="55"/>
      <c r="G20" s="78"/>
      <c r="H20" s="214" t="s">
        <v>10</v>
      </c>
      <c r="I20" s="215"/>
      <c r="J20" s="215"/>
      <c r="K20" s="216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</row>
    <row r="21" spans="1:26" x14ac:dyDescent="0.2">
      <c r="A21" s="78"/>
      <c r="B21" s="4"/>
      <c r="C21" s="2"/>
      <c r="D21" s="2"/>
      <c r="E21" s="2"/>
      <c r="F21" s="55"/>
      <c r="G21" s="78"/>
      <c r="H21" s="76" t="s">
        <v>5</v>
      </c>
      <c r="I21" s="76" t="s">
        <v>7</v>
      </c>
      <c r="J21" s="76" t="s">
        <v>8</v>
      </c>
      <c r="K21" s="77" t="s">
        <v>6</v>
      </c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</row>
    <row r="22" spans="1:26" x14ac:dyDescent="0.2">
      <c r="A22" s="78"/>
      <c r="B22" s="4"/>
      <c r="C22" s="2"/>
      <c r="D22" s="2"/>
      <c r="E22" s="2"/>
      <c r="F22" s="55"/>
      <c r="G22" s="78"/>
      <c r="H22" s="79"/>
      <c r="I22" s="76"/>
      <c r="J22" s="76"/>
      <c r="K22" s="77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</row>
    <row r="23" spans="1:26" x14ac:dyDescent="0.2">
      <c r="A23" s="78"/>
      <c r="B23" s="4"/>
      <c r="C23" s="2"/>
      <c r="D23" s="2"/>
      <c r="E23" s="2"/>
      <c r="F23" s="55"/>
      <c r="G23" s="78"/>
      <c r="H23" s="79"/>
      <c r="I23" s="76"/>
      <c r="J23" s="76"/>
      <c r="K23" s="77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</row>
    <row r="24" spans="1:26" x14ac:dyDescent="0.2">
      <c r="A24" s="78"/>
      <c r="B24" s="4"/>
      <c r="C24" s="2"/>
      <c r="D24" s="2"/>
      <c r="E24" s="2"/>
      <c r="F24" s="55"/>
      <c r="G24" s="78"/>
      <c r="H24" s="79"/>
      <c r="I24" s="76"/>
      <c r="J24" s="76"/>
      <c r="K24" s="77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</row>
    <row r="25" spans="1:26" x14ac:dyDescent="0.2">
      <c r="A25" s="78"/>
      <c r="B25" s="4"/>
      <c r="C25" s="2"/>
      <c r="D25" s="2"/>
      <c r="E25" s="2"/>
      <c r="F25" s="55"/>
      <c r="G25" s="78"/>
      <c r="H25" s="79"/>
      <c r="I25" s="76"/>
      <c r="J25" s="76"/>
      <c r="K25" s="77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</row>
    <row r="26" spans="1:26" x14ac:dyDescent="0.2">
      <c r="A26" s="78"/>
      <c r="B26" s="5"/>
      <c r="C26" s="2"/>
      <c r="D26" s="2"/>
      <c r="E26" s="2"/>
      <c r="F26" s="56"/>
      <c r="G26" s="78"/>
      <c r="H26" s="79"/>
      <c r="I26" s="76"/>
      <c r="J26" s="76"/>
      <c r="K26" s="77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</row>
    <row r="27" spans="1:26" s="41" customFormat="1" ht="16" thickBot="1" x14ac:dyDescent="0.25">
      <c r="A27" s="78"/>
      <c r="B27" s="6" t="s">
        <v>3</v>
      </c>
      <c r="C27" s="7"/>
      <c r="D27" s="58"/>
      <c r="E27" s="58"/>
      <c r="F27" s="57">
        <f>SUM(F17:F26)</f>
        <v>0</v>
      </c>
      <c r="G27" s="78"/>
      <c r="H27" s="79"/>
      <c r="I27" s="76"/>
      <c r="J27" s="76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</row>
    <row r="28" spans="1:26" ht="16" thickBot="1" x14ac:dyDescent="0.25">
      <c r="A28" s="78"/>
      <c r="B28" s="59"/>
      <c r="C28" s="60"/>
      <c r="D28" s="60"/>
      <c r="E28" s="60"/>
      <c r="F28" s="61"/>
      <c r="G28" s="78"/>
      <c r="H28" s="79"/>
      <c r="I28" s="76"/>
      <c r="J28" s="76"/>
      <c r="K28" s="77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</row>
    <row r="29" spans="1:26" ht="17" thickBot="1" x14ac:dyDescent="0.25">
      <c r="A29" s="78"/>
      <c r="B29" s="51" t="s">
        <v>0</v>
      </c>
      <c r="C29" s="49"/>
      <c r="D29" s="49"/>
      <c r="E29" s="49"/>
      <c r="F29" s="68" t="s">
        <v>1</v>
      </c>
      <c r="G29" s="78"/>
      <c r="H29" s="79"/>
      <c r="I29" s="76"/>
      <c r="J29" s="76"/>
      <c r="K29" s="77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</row>
    <row r="30" spans="1:26" x14ac:dyDescent="0.2">
      <c r="A30" s="78"/>
      <c r="B30" s="67" t="s">
        <v>87</v>
      </c>
      <c r="C30" s="72" t="e">
        <f>(D31+D34+D40+D46)/E81</f>
        <v>#DIV/0!</v>
      </c>
      <c r="D30" s="71"/>
      <c r="E30" s="89"/>
      <c r="F30" s="91"/>
      <c r="G30" s="78"/>
      <c r="H30" s="79"/>
      <c r="I30" s="76"/>
      <c r="J30" s="76"/>
      <c r="K30" s="77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</row>
    <row r="31" spans="1:26" x14ac:dyDescent="0.2">
      <c r="A31" s="78"/>
      <c r="B31" s="81" t="s">
        <v>37</v>
      </c>
      <c r="C31" s="3"/>
      <c r="D31" s="92">
        <f>SUM(E32:E33)</f>
        <v>0</v>
      </c>
      <c r="E31" s="3"/>
      <c r="F31" s="87">
        <f>SUM(F32:F33)</f>
        <v>0</v>
      </c>
      <c r="G31" s="78"/>
      <c r="H31" s="79"/>
      <c r="I31" s="76"/>
      <c r="J31" s="76"/>
      <c r="K31" s="77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</row>
    <row r="32" spans="1:26" x14ac:dyDescent="0.2">
      <c r="A32" s="78"/>
      <c r="B32" s="46" t="s">
        <v>62</v>
      </c>
      <c r="C32" s="3"/>
      <c r="D32" s="3"/>
      <c r="E32" s="3">
        <f>SUMIF(Table44914234[Category],"Rent",Table44914234[Amount])</f>
        <v>0</v>
      </c>
      <c r="F32" s="84"/>
      <c r="G32" s="78"/>
      <c r="H32" s="79"/>
      <c r="I32" s="76"/>
      <c r="J32" s="76"/>
      <c r="K32" s="77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</row>
    <row r="33" spans="1:26" x14ac:dyDescent="0.2">
      <c r="A33" s="78"/>
      <c r="B33" s="46" t="s">
        <v>38</v>
      </c>
      <c r="C33" s="3"/>
      <c r="D33" s="3"/>
      <c r="E33" s="3">
        <f>SUMIF(Table44914234[Category],"Utilities",Table44914234[Amount])</f>
        <v>0</v>
      </c>
      <c r="F33" s="84"/>
      <c r="G33" s="78"/>
      <c r="H33" s="79"/>
      <c r="I33" s="76"/>
      <c r="J33" s="76"/>
      <c r="K33" s="77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</row>
    <row r="34" spans="1:26" x14ac:dyDescent="0.2">
      <c r="A34" s="78"/>
      <c r="B34" s="47" t="s">
        <v>39</v>
      </c>
      <c r="C34" s="3"/>
      <c r="D34" s="92">
        <f>SUM(E35:E39)</f>
        <v>0</v>
      </c>
      <c r="E34" s="3"/>
      <c r="F34" s="87">
        <f>SUM(F35:F39)</f>
        <v>0</v>
      </c>
      <c r="G34" s="78"/>
      <c r="H34" s="79"/>
      <c r="I34" s="76"/>
      <c r="J34" s="76"/>
      <c r="K34" s="77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</row>
    <row r="35" spans="1:26" ht="15.75" customHeight="1" x14ac:dyDescent="0.2">
      <c r="A35" s="78"/>
      <c r="B35" s="46" t="s">
        <v>82</v>
      </c>
      <c r="C35" s="3"/>
      <c r="D35" s="3"/>
      <c r="E35" s="3">
        <f>SUMIF(Table44914234[Category],"Restaurants",Table44914234[Amount])</f>
        <v>0</v>
      </c>
      <c r="F35" s="84"/>
      <c r="G35" s="78"/>
      <c r="H35" s="79"/>
      <c r="I35" s="76"/>
      <c r="J35" s="76"/>
      <c r="K35" s="77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</row>
    <row r="36" spans="1:26" ht="14.25" customHeight="1" x14ac:dyDescent="0.2">
      <c r="A36" s="78"/>
      <c r="B36" s="46" t="s">
        <v>63</v>
      </c>
      <c r="C36" s="3"/>
      <c r="D36" s="3"/>
      <c r="E36" s="3">
        <f>SUMIF(Table44914234[Category],"Fast Food",Table44914234[Amount])</f>
        <v>0</v>
      </c>
      <c r="F36" s="84"/>
      <c r="G36" s="78"/>
      <c r="H36" s="79"/>
      <c r="I36" s="76"/>
      <c r="J36" s="76"/>
      <c r="K36" s="77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</row>
    <row r="37" spans="1:26" x14ac:dyDescent="0.2">
      <c r="A37" s="78"/>
      <c r="B37" s="46" t="s">
        <v>64</v>
      </c>
      <c r="C37" s="3"/>
      <c r="D37" s="3"/>
      <c r="E37" s="3">
        <f>SUMIF(Table44914234[Category],"Groceries",Table44914234[Amount])</f>
        <v>0</v>
      </c>
      <c r="F37" s="84"/>
      <c r="G37" s="78"/>
      <c r="H37" s="79"/>
      <c r="I37" s="76"/>
      <c r="J37" s="76"/>
      <c r="K37" s="77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</row>
    <row r="38" spans="1:26" x14ac:dyDescent="0.2">
      <c r="A38" s="78"/>
      <c r="B38" s="46" t="s">
        <v>65</v>
      </c>
      <c r="C38" s="3"/>
      <c r="D38" s="3"/>
      <c r="E38" s="3">
        <f>SUMIF(Table44914234[Category],"Coffee",Table44914234[Amount])</f>
        <v>0</v>
      </c>
      <c r="F38" s="84"/>
      <c r="G38" s="78"/>
      <c r="H38" s="79"/>
      <c r="I38" s="76"/>
      <c r="J38" s="76"/>
      <c r="K38" s="77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</row>
    <row r="39" spans="1:26" x14ac:dyDescent="0.2">
      <c r="A39" s="78"/>
      <c r="B39" s="46" t="s">
        <v>66</v>
      </c>
      <c r="C39" s="3"/>
      <c r="D39" s="3"/>
      <c r="E39" s="3">
        <f>SUMIF(Table44914234[Category],"Bars",Table44914234[Amount])</f>
        <v>0</v>
      </c>
      <c r="F39" s="84"/>
      <c r="G39" s="78"/>
      <c r="H39" s="79"/>
      <c r="I39" s="76"/>
      <c r="J39" s="76"/>
      <c r="K39" s="77"/>
      <c r="L39" s="78"/>
      <c r="M39" s="78"/>
      <c r="N39" s="37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spans="1:26" x14ac:dyDescent="0.2">
      <c r="A40" s="78"/>
      <c r="B40" s="48" t="s">
        <v>67</v>
      </c>
      <c r="C40" s="44"/>
      <c r="D40" s="93">
        <f>SUM(E41:E45)</f>
        <v>0</v>
      </c>
      <c r="E40" s="3"/>
      <c r="F40" s="88">
        <f>SUM(F41:F45)</f>
        <v>0</v>
      </c>
      <c r="G40" s="78"/>
      <c r="H40" s="79"/>
      <c r="I40" s="76"/>
      <c r="J40" s="76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spans="1:26" x14ac:dyDescent="0.2">
      <c r="A41" s="1"/>
      <c r="B41" s="46" t="s">
        <v>42</v>
      </c>
      <c r="C41" s="3"/>
      <c r="D41" s="3"/>
      <c r="E41" s="3">
        <f>SUMIF(Table44914234[Category],"Gas",Table44914234[Amount])</f>
        <v>0</v>
      </c>
      <c r="F41" s="84"/>
      <c r="G41" s="78"/>
      <c r="H41" s="79"/>
      <c r="I41" s="76"/>
      <c r="K41" s="77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</row>
    <row r="42" spans="1:26" x14ac:dyDescent="0.2">
      <c r="A42" s="1"/>
      <c r="B42" s="46" t="s">
        <v>68</v>
      </c>
      <c r="C42" s="116"/>
      <c r="D42" s="116"/>
      <c r="E42" s="3">
        <f>SUMIF(Table44914234[Category],"Insurance",Table44914234[Amount])</f>
        <v>0</v>
      </c>
      <c r="F42" s="84"/>
      <c r="G42" s="78"/>
      <c r="H42" s="79"/>
      <c r="J42" s="76"/>
      <c r="K42" s="77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</row>
    <row r="43" spans="1:26" x14ac:dyDescent="0.2">
      <c r="A43" s="18"/>
      <c r="B43" s="46" t="s">
        <v>83</v>
      </c>
      <c r="C43" s="116"/>
      <c r="D43" s="116"/>
      <c r="E43" s="3">
        <f>SUMIF(Table44914234[Category],"Maintenance",Table44914234[Amount])</f>
        <v>0</v>
      </c>
      <c r="F43" s="84"/>
      <c r="G43" s="78"/>
      <c r="H43" s="79"/>
      <c r="I43" s="76"/>
      <c r="J43" s="76"/>
      <c r="K43" s="77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</row>
    <row r="44" spans="1:26" x14ac:dyDescent="0.2">
      <c r="A44" s="43"/>
      <c r="B44" s="46" t="s">
        <v>69</v>
      </c>
      <c r="C44" s="116"/>
      <c r="D44" s="116"/>
      <c r="E44" s="3">
        <f>SUMIF(Table44914234[Category],"Parking",Table44914234[Amount])</f>
        <v>0</v>
      </c>
      <c r="F44" s="84"/>
      <c r="G44" s="78"/>
      <c r="H44" s="79"/>
      <c r="I44" s="76"/>
      <c r="J44" s="76"/>
      <c r="K44" s="77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</row>
    <row r="45" spans="1:26" x14ac:dyDescent="0.2">
      <c r="A45" s="78"/>
      <c r="B45" s="46" t="s">
        <v>40</v>
      </c>
      <c r="C45" s="116"/>
      <c r="D45" s="116"/>
      <c r="E45" s="3">
        <f>SUMIF(Table44914234[Category],"Uber",Table44914234[Amount])</f>
        <v>0</v>
      </c>
      <c r="F45" s="84"/>
      <c r="G45" s="78"/>
      <c r="H45" s="79"/>
      <c r="I45" s="76"/>
      <c r="J45" s="76"/>
      <c r="K45" s="77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</row>
    <row r="46" spans="1:26" x14ac:dyDescent="0.2">
      <c r="A46" s="1"/>
      <c r="B46" s="81" t="s">
        <v>70</v>
      </c>
      <c r="C46" s="116"/>
      <c r="D46" s="94">
        <f>SUM(E47:E48)</f>
        <v>0</v>
      </c>
      <c r="E46" s="3"/>
      <c r="F46" s="87">
        <f>SUM(F47:F48)</f>
        <v>0</v>
      </c>
      <c r="G46" s="78"/>
      <c r="H46" s="79"/>
      <c r="I46" s="76"/>
      <c r="J46" s="76"/>
      <c r="K46" s="77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</row>
    <row r="47" spans="1:26" x14ac:dyDescent="0.2">
      <c r="A47" s="1"/>
      <c r="B47" s="46" t="s">
        <v>44</v>
      </c>
      <c r="C47" s="116"/>
      <c r="D47" s="116"/>
      <c r="E47" s="3">
        <f>SUMIF(Table44914234[Category],"Tuition",Table44914234[Amount])</f>
        <v>0</v>
      </c>
      <c r="F47" s="84"/>
      <c r="G47" s="78"/>
      <c r="H47" s="79"/>
      <c r="I47" s="76"/>
      <c r="J47" s="76"/>
      <c r="K47" s="77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</row>
    <row r="48" spans="1:26" x14ac:dyDescent="0.2">
      <c r="A48" s="1"/>
      <c r="B48" s="46" t="s">
        <v>71</v>
      </c>
      <c r="C48" s="116"/>
      <c r="D48" s="116"/>
      <c r="E48" s="3">
        <f>SUMIF(Table44914234[Category],"Books",Table44914234[Amount])</f>
        <v>0</v>
      </c>
      <c r="F48" s="84"/>
      <c r="G48" s="78"/>
      <c r="H48" s="79"/>
      <c r="I48" s="76"/>
      <c r="J48" s="76"/>
      <c r="K48" s="77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</row>
    <row r="49" spans="1:26" x14ac:dyDescent="0.2">
      <c r="A49" s="1"/>
      <c r="B49" s="46"/>
      <c r="C49" s="116"/>
      <c r="D49" s="116"/>
      <c r="E49" s="3"/>
      <c r="F49" s="84"/>
      <c r="G49" s="78"/>
      <c r="H49" s="79"/>
      <c r="I49" s="76"/>
      <c r="J49" s="76"/>
      <c r="K49" s="77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</row>
    <row r="50" spans="1:26" x14ac:dyDescent="0.2">
      <c r="A50" s="1"/>
      <c r="B50" s="46"/>
      <c r="C50" s="116"/>
      <c r="D50" s="116"/>
      <c r="E50" s="3"/>
      <c r="F50" s="84"/>
      <c r="G50" s="78"/>
      <c r="H50" s="79"/>
      <c r="I50" s="76"/>
      <c r="J50" s="76"/>
      <c r="K50" s="77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</row>
    <row r="51" spans="1:26" x14ac:dyDescent="0.2">
      <c r="A51" s="1"/>
      <c r="B51" s="50" t="s">
        <v>121</v>
      </c>
      <c r="C51" s="73" t="e">
        <f>(D52+D55+D60)/E81</f>
        <v>#DIV/0!</v>
      </c>
      <c r="D51" s="116"/>
      <c r="E51" s="3"/>
      <c r="F51" s="84"/>
      <c r="G51" s="78"/>
      <c r="H51" s="79"/>
      <c r="I51" s="76"/>
      <c r="J51" s="76"/>
      <c r="K51" s="77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</row>
    <row r="52" spans="1:26" x14ac:dyDescent="0.2">
      <c r="A52" s="1"/>
      <c r="B52" s="81" t="s">
        <v>41</v>
      </c>
      <c r="C52" s="116"/>
      <c r="D52" s="94">
        <f>SUM(E53:E54)</f>
        <v>0</v>
      </c>
      <c r="E52" s="3"/>
      <c r="F52" s="87">
        <f>SUM(F53:F54)</f>
        <v>0</v>
      </c>
      <c r="G52" s="78"/>
      <c r="H52" s="79"/>
      <c r="I52" s="76"/>
      <c r="J52" s="76"/>
      <c r="K52" s="77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</row>
    <row r="53" spans="1:26" x14ac:dyDescent="0.2">
      <c r="A53" s="1"/>
      <c r="B53" s="46" t="s">
        <v>72</v>
      </c>
      <c r="C53" s="116"/>
      <c r="D53" s="116"/>
      <c r="E53" s="3">
        <f>SUMIF(Table44914234[Category],"Subscription",Table44914234[Amount])</f>
        <v>0</v>
      </c>
      <c r="F53" s="84"/>
      <c r="G53" s="78"/>
      <c r="H53" s="79"/>
      <c r="I53" s="76"/>
      <c r="J53" s="76"/>
      <c r="K53" s="77"/>
      <c r="L53" s="78"/>
      <c r="M53" s="86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</row>
    <row r="54" spans="1:26" x14ac:dyDescent="0.2">
      <c r="A54" s="1"/>
      <c r="B54" s="46" t="s">
        <v>84</v>
      </c>
      <c r="C54" s="116"/>
      <c r="D54" s="116"/>
      <c r="E54" s="3">
        <f>SUMIF(Table44914234[Category],"Events",Table44914234[Amount])</f>
        <v>0</v>
      </c>
      <c r="F54" s="84"/>
      <c r="G54" s="78"/>
      <c r="H54" s="79"/>
      <c r="I54" s="76"/>
      <c r="J54" s="76"/>
      <c r="K54" s="77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</row>
    <row r="55" spans="1:26" x14ac:dyDescent="0.2">
      <c r="A55" s="1"/>
      <c r="B55" s="81" t="s">
        <v>73</v>
      </c>
      <c r="C55" s="116"/>
      <c r="D55" s="94">
        <f>SUM(E56:E59)</f>
        <v>0</v>
      </c>
      <c r="E55" s="3"/>
      <c r="F55" s="87">
        <f>SUM(F56:F59)</f>
        <v>0</v>
      </c>
      <c r="G55" s="78"/>
      <c r="H55" s="79"/>
      <c r="I55" s="76"/>
      <c r="J55" s="76"/>
      <c r="K55" s="77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</row>
    <row r="56" spans="1:26" x14ac:dyDescent="0.2">
      <c r="A56" s="1"/>
      <c r="B56" s="46" t="s">
        <v>74</v>
      </c>
      <c r="C56" s="116"/>
      <c r="D56" s="116"/>
      <c r="E56" s="3">
        <f>SUMIF(Table44914234[Category],"Clothes",Table44914234[Amount])</f>
        <v>0</v>
      </c>
      <c r="F56" s="84"/>
      <c r="G56" s="78"/>
      <c r="H56" s="79"/>
      <c r="I56" s="76"/>
      <c r="J56" s="76"/>
      <c r="K56" s="77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</row>
    <row r="57" spans="1:26" ht="17" thickBot="1" x14ac:dyDescent="0.25">
      <c r="A57" s="1"/>
      <c r="B57" s="46" t="s">
        <v>75</v>
      </c>
      <c r="C57" s="116"/>
      <c r="D57" s="116"/>
      <c r="E57" s="3">
        <f>SUMIF(Table44914234[Category],"Accessories",Table44914234[Amount])</f>
        <v>0</v>
      </c>
      <c r="F57" s="84"/>
      <c r="G57" s="78"/>
      <c r="H57" s="12" t="s">
        <v>19</v>
      </c>
      <c r="I57" s="9"/>
      <c r="J57" s="9"/>
      <c r="K57" s="10">
        <f>SUM(K22:K56)</f>
        <v>0</v>
      </c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</row>
    <row r="58" spans="1:26" x14ac:dyDescent="0.2">
      <c r="A58" s="1"/>
      <c r="B58" s="46" t="s">
        <v>76</v>
      </c>
      <c r="C58" s="116"/>
      <c r="D58" s="116"/>
      <c r="E58" s="3">
        <f>SUMIF(Table44914234[Category],"Gifts",Table44914234[Amount])</f>
        <v>0</v>
      </c>
      <c r="F58" s="84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</row>
    <row r="59" spans="1:26" ht="16" thickBot="1" x14ac:dyDescent="0.25">
      <c r="A59" s="78"/>
      <c r="B59" s="46" t="s">
        <v>81</v>
      </c>
      <c r="C59" s="116"/>
      <c r="D59" s="116"/>
      <c r="E59" s="3">
        <f>SUMIF(Table44914234[Category],"Cosmetics",Table44914234[Amount])</f>
        <v>0</v>
      </c>
      <c r="F59" s="84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</row>
    <row r="60" spans="1:26" x14ac:dyDescent="0.2">
      <c r="A60" s="78"/>
      <c r="B60" s="81" t="s">
        <v>77</v>
      </c>
      <c r="C60" s="116"/>
      <c r="D60" s="94">
        <f>SUMIF(Table44914234[Category],"Hobbies",Table44914234[Amount])</f>
        <v>0</v>
      </c>
      <c r="E60" s="3"/>
      <c r="F60" s="87">
        <v>0</v>
      </c>
      <c r="G60" s="78"/>
      <c r="H60" s="145" t="s">
        <v>103</v>
      </c>
      <c r="I60" s="146"/>
      <c r="J60" s="146"/>
      <c r="K60" s="147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</row>
    <row r="61" spans="1:26" x14ac:dyDescent="0.2">
      <c r="A61" s="78"/>
      <c r="B61" s="81"/>
      <c r="C61" s="116"/>
      <c r="D61" s="74"/>
      <c r="E61" s="3"/>
      <c r="F61" s="84"/>
      <c r="G61" s="78"/>
      <c r="H61" s="190"/>
      <c r="I61" s="149"/>
      <c r="J61" s="149"/>
      <c r="K61" s="150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</row>
    <row r="62" spans="1:26" ht="16" thickBot="1" x14ac:dyDescent="0.25">
      <c r="A62" s="78"/>
      <c r="B62" s="83" t="s">
        <v>4</v>
      </c>
      <c r="C62" s="82"/>
      <c r="D62" s="82"/>
      <c r="E62" s="90">
        <f>SUM(D31,D34,D40,D46,D52,D55,D60)</f>
        <v>0</v>
      </c>
      <c r="F62" s="85">
        <f>SUM(F31,F34,F40,F46,F52,F55,F60)</f>
        <v>0</v>
      </c>
      <c r="G62" s="78"/>
      <c r="H62" s="190"/>
      <c r="I62" s="149"/>
      <c r="J62" s="149"/>
      <c r="K62" s="150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</row>
    <row r="63" spans="1:26" x14ac:dyDescent="0.2">
      <c r="A63" s="78"/>
      <c r="B63" s="100"/>
      <c r="C63" s="101"/>
      <c r="D63" s="101"/>
      <c r="E63" s="102"/>
      <c r="F63" s="84"/>
      <c r="G63" s="78"/>
      <c r="H63" s="144"/>
      <c r="I63" s="149"/>
      <c r="J63" s="149"/>
      <c r="K63" s="150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</row>
    <row r="64" spans="1:26" x14ac:dyDescent="0.2">
      <c r="A64" s="78"/>
      <c r="B64" s="103" t="s">
        <v>85</v>
      </c>
      <c r="C64" s="104" t="e">
        <f>(D65)/E81</f>
        <v>#DIV/0!</v>
      </c>
      <c r="D64" s="101"/>
      <c r="E64" s="102"/>
      <c r="F64" s="84"/>
      <c r="G64" s="78"/>
      <c r="H64" s="144"/>
      <c r="I64" s="149"/>
      <c r="J64" s="149"/>
      <c r="K64" s="150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</row>
    <row r="65" spans="1:26" x14ac:dyDescent="0.2">
      <c r="A65" s="78"/>
      <c r="B65" s="105" t="s">
        <v>94</v>
      </c>
      <c r="C65" s="101"/>
      <c r="D65" s="106">
        <f>SUM(E66:E68)</f>
        <v>0</v>
      </c>
      <c r="E65" s="102"/>
      <c r="F65" s="87">
        <f>SUM(F66:F68)</f>
        <v>0</v>
      </c>
      <c r="G65" s="78"/>
      <c r="H65" s="144"/>
      <c r="I65" s="149"/>
      <c r="J65" s="149"/>
      <c r="K65" s="150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</row>
    <row r="66" spans="1:26" x14ac:dyDescent="0.2">
      <c r="A66" s="78"/>
      <c r="B66" s="107" t="s">
        <v>88</v>
      </c>
      <c r="C66" s="101"/>
      <c r="D66" s="101"/>
      <c r="E66" s="102">
        <f>SUMIF(Table44914234[Category],"Emergency Fund",Table44914234[Amount])</f>
        <v>0</v>
      </c>
      <c r="F66" s="84"/>
      <c r="G66" s="78"/>
      <c r="H66" s="144"/>
      <c r="I66" s="149"/>
      <c r="J66" s="149"/>
      <c r="K66" s="150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</row>
    <row r="67" spans="1:26" x14ac:dyDescent="0.2">
      <c r="A67" s="78"/>
      <c r="B67" s="107" t="s">
        <v>55</v>
      </c>
      <c r="C67" s="101"/>
      <c r="D67" s="101"/>
      <c r="E67" s="102">
        <f>SUMIF(Table44914234[Category],"Retirement",Table44914234[Amount])</f>
        <v>0</v>
      </c>
      <c r="F67" s="84"/>
      <c r="G67" s="78"/>
      <c r="H67" s="144"/>
      <c r="I67" s="149"/>
      <c r="J67" s="149"/>
      <c r="K67" s="150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</row>
    <row r="68" spans="1:26" ht="14.25" customHeight="1" x14ac:dyDescent="0.2">
      <c r="A68" s="78"/>
      <c r="B68" s="107" t="s">
        <v>53</v>
      </c>
      <c r="C68" s="101"/>
      <c r="D68" s="101"/>
      <c r="E68" s="102">
        <f>SUMIF(Table44914234[Category],"Investment",Table44914234[Amount])</f>
        <v>0</v>
      </c>
      <c r="F68" s="84"/>
      <c r="G68" s="78"/>
      <c r="H68" s="144"/>
      <c r="I68" s="149"/>
      <c r="J68" s="149"/>
      <c r="K68" s="150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</row>
    <row r="69" spans="1:26" x14ac:dyDescent="0.2">
      <c r="A69" s="78"/>
      <c r="B69" s="100"/>
      <c r="C69" s="101"/>
      <c r="D69" s="101"/>
      <c r="E69" s="102"/>
      <c r="F69" s="84"/>
      <c r="G69" s="78"/>
      <c r="H69" s="144"/>
      <c r="I69" s="149"/>
      <c r="J69" s="149"/>
      <c r="K69" s="150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</row>
    <row r="70" spans="1:26" x14ac:dyDescent="0.2">
      <c r="A70" s="78"/>
      <c r="B70" s="103" t="s">
        <v>86</v>
      </c>
      <c r="C70" s="104" t="e">
        <f>D71/E81</f>
        <v>#DIV/0!</v>
      </c>
      <c r="D70" s="101"/>
      <c r="E70" s="102"/>
      <c r="F70" s="84"/>
      <c r="G70" s="78"/>
      <c r="H70" s="144"/>
      <c r="I70" s="149"/>
      <c r="J70" s="149"/>
      <c r="K70" s="150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</row>
    <row r="71" spans="1:26" x14ac:dyDescent="0.2">
      <c r="A71" s="52"/>
      <c r="B71" s="105" t="s">
        <v>95</v>
      </c>
      <c r="C71" s="108"/>
      <c r="D71" s="106">
        <f>SUM(E72:E73)</f>
        <v>0</v>
      </c>
      <c r="E71" s="109"/>
      <c r="F71" s="87">
        <f>SUM(F72:F73)</f>
        <v>0</v>
      </c>
      <c r="G71" s="78"/>
      <c r="H71" s="144"/>
      <c r="I71" s="149"/>
      <c r="J71" s="149"/>
      <c r="K71" s="150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</row>
    <row r="72" spans="1:26" x14ac:dyDescent="0.2">
      <c r="A72" s="78"/>
      <c r="B72" s="110" t="s">
        <v>43</v>
      </c>
      <c r="C72" s="101"/>
      <c r="D72" s="101"/>
      <c r="E72" s="102">
        <f>SUMIF(Table44914234[Category],"Donations",Table44914234[Amount])</f>
        <v>0</v>
      </c>
      <c r="F72" s="84"/>
      <c r="G72" s="78"/>
      <c r="H72" s="144"/>
      <c r="I72" s="149"/>
      <c r="J72" s="149"/>
      <c r="K72" s="150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</row>
    <row r="73" spans="1:26" x14ac:dyDescent="0.2">
      <c r="A73" s="78"/>
      <c r="B73" s="110" t="s">
        <v>90</v>
      </c>
      <c r="C73" s="101"/>
      <c r="D73" s="101"/>
      <c r="E73" s="102">
        <f>SUMIF(Table44914234[Category],"Offering",Table44914234[Amount])</f>
        <v>0</v>
      </c>
      <c r="F73" s="84"/>
      <c r="G73" s="78"/>
      <c r="H73" s="144"/>
      <c r="I73" s="149"/>
      <c r="J73" s="149"/>
      <c r="K73" s="150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</row>
    <row r="74" spans="1:26" x14ac:dyDescent="0.2">
      <c r="A74" s="78"/>
      <c r="B74" s="110"/>
      <c r="C74" s="101"/>
      <c r="D74" s="101"/>
      <c r="E74" s="102"/>
      <c r="F74" s="84"/>
      <c r="G74" s="78"/>
      <c r="H74" s="144"/>
      <c r="I74" s="149"/>
      <c r="J74" s="149"/>
      <c r="K74" s="150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</row>
    <row r="75" spans="1:26" x14ac:dyDescent="0.2">
      <c r="A75" s="78"/>
      <c r="B75" s="111" t="s">
        <v>89</v>
      </c>
      <c r="C75" s="104" t="e">
        <f>D76/E81</f>
        <v>#DIV/0!</v>
      </c>
      <c r="D75" s="101"/>
      <c r="E75" s="102"/>
      <c r="F75" s="84"/>
      <c r="G75" s="78"/>
      <c r="H75" s="144"/>
      <c r="I75" s="149"/>
      <c r="J75" s="149"/>
      <c r="K75" s="150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</row>
    <row r="76" spans="1:26" x14ac:dyDescent="0.2">
      <c r="A76" s="78"/>
      <c r="B76" s="112" t="s">
        <v>104</v>
      </c>
      <c r="C76" s="101"/>
      <c r="D76" s="106">
        <f>SUM(E77:E79)</f>
        <v>0</v>
      </c>
      <c r="E76" s="102"/>
      <c r="F76" s="87">
        <f>SUM(F77:F79)</f>
        <v>0</v>
      </c>
      <c r="G76" s="78"/>
      <c r="H76" s="144"/>
      <c r="I76" s="149"/>
      <c r="J76" s="149"/>
      <c r="K76" s="150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</row>
    <row r="77" spans="1:26" x14ac:dyDescent="0.2">
      <c r="A77" s="78"/>
      <c r="B77" s="110" t="s">
        <v>92</v>
      </c>
      <c r="C77" s="101"/>
      <c r="D77" s="101"/>
      <c r="E77" s="102">
        <f>SUMIF(Table44914234[Category],"Student Loan",Table44914234[Amount])</f>
        <v>0</v>
      </c>
      <c r="F77" s="84"/>
      <c r="G77" s="78"/>
      <c r="H77" s="144"/>
      <c r="I77" s="149"/>
      <c r="J77" s="149"/>
      <c r="K77" s="150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</row>
    <row r="78" spans="1:26" x14ac:dyDescent="0.2">
      <c r="A78" s="78"/>
      <c r="B78" s="107" t="s">
        <v>91</v>
      </c>
      <c r="C78" s="101"/>
      <c r="D78" s="101"/>
      <c r="E78" s="102">
        <f>SUMIF(Table44914234[Category],"Credit Card",Table44914234[Amount])</f>
        <v>0</v>
      </c>
      <c r="F78" s="84"/>
      <c r="G78" s="78"/>
      <c r="H78" s="144"/>
      <c r="I78" s="149"/>
      <c r="J78" s="149"/>
      <c r="K78" s="150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</row>
    <row r="79" spans="1:26" x14ac:dyDescent="0.2">
      <c r="A79" s="78"/>
      <c r="B79" s="110" t="s">
        <v>93</v>
      </c>
      <c r="C79" s="101"/>
      <c r="D79" s="101"/>
      <c r="E79" s="102">
        <f>SUMIF(Table44914234[Category],"Car",Table44914234[Amount])</f>
        <v>0</v>
      </c>
      <c r="F79" s="84"/>
      <c r="G79" s="1"/>
      <c r="H79" s="144"/>
      <c r="I79" s="149"/>
      <c r="J79" s="149"/>
      <c r="K79" s="150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</row>
    <row r="80" spans="1:26" s="54" customFormat="1" x14ac:dyDescent="0.2">
      <c r="A80" s="78"/>
      <c r="B80" s="111"/>
      <c r="C80" s="101"/>
      <c r="D80" s="101"/>
      <c r="E80" s="102"/>
      <c r="F80" s="84"/>
      <c r="G80" s="53"/>
      <c r="H80" s="148"/>
      <c r="I80" s="151"/>
      <c r="J80" s="151"/>
      <c r="K80" s="1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spans="1:26" ht="16" thickBot="1" x14ac:dyDescent="0.25">
      <c r="A81" s="78"/>
      <c r="B81" s="113" t="s">
        <v>35</v>
      </c>
      <c r="C81" s="114"/>
      <c r="D81" s="114"/>
      <c r="E81" s="115">
        <f>SUM(D65,D76,D71)</f>
        <v>0</v>
      </c>
      <c r="F81" s="85">
        <f>SUM(F65,F71,F76)</f>
        <v>0</v>
      </c>
      <c r="G81" s="1"/>
      <c r="H81" s="153"/>
      <c r="I81" s="154"/>
      <c r="J81" s="154"/>
      <c r="K81" s="155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</row>
    <row r="82" spans="1:26" x14ac:dyDescent="0.2">
      <c r="A82" s="78"/>
      <c r="B82" s="78"/>
      <c r="C82" s="78"/>
      <c r="D82" s="78"/>
      <c r="E82" s="78"/>
      <c r="F82" s="78"/>
      <c r="G82" s="1"/>
      <c r="H82" s="1"/>
      <c r="I82" s="1"/>
      <c r="J82" s="1"/>
      <c r="K82" s="1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</row>
    <row r="83" spans="1:26" ht="16" thickBot="1" x14ac:dyDescent="0.25">
      <c r="A83" s="78"/>
      <c r="B83" s="78"/>
      <c r="C83" s="78"/>
      <c r="D83" s="78"/>
      <c r="E83" s="78"/>
      <c r="F83" s="78"/>
      <c r="G83" s="1"/>
      <c r="H83" s="1"/>
      <c r="I83" s="1"/>
      <c r="J83" s="1"/>
      <c r="K83" s="1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</row>
    <row r="84" spans="1:26" x14ac:dyDescent="0.2">
      <c r="A84" s="78"/>
      <c r="B84" s="195" t="str">
        <f>B30</f>
        <v>LIVING EXPENSES</v>
      </c>
      <c r="C84" s="196" t="e">
        <f>C30</f>
        <v>#DIV/0!</v>
      </c>
      <c r="D84" s="78"/>
      <c r="E84" s="78"/>
      <c r="F84" s="78"/>
      <c r="G84" s="78"/>
      <c r="H84" s="1"/>
      <c r="I84" s="1"/>
      <c r="J84" s="1"/>
      <c r="K84" s="1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</row>
    <row r="85" spans="1:26" x14ac:dyDescent="0.2">
      <c r="A85" s="78"/>
      <c r="B85" s="144" t="str">
        <f>B51</f>
        <v>INDULGENCE EXPENSES</v>
      </c>
      <c r="C85" s="197" t="e">
        <f>C51</f>
        <v>#DIV/0!</v>
      </c>
      <c r="D85" s="78"/>
      <c r="E85" s="78"/>
      <c r="F85" s="78"/>
      <c r="G85" s="78"/>
      <c r="H85" s="1"/>
      <c r="I85" s="1"/>
      <c r="J85" s="1"/>
      <c r="K85" s="1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</row>
    <row r="86" spans="1:26" x14ac:dyDescent="0.2">
      <c r="A86" s="78"/>
      <c r="B86" s="144" t="str">
        <f>B64</f>
        <v>SAVINGS</v>
      </c>
      <c r="C86" s="197" t="e">
        <f>C64</f>
        <v>#DIV/0!</v>
      </c>
      <c r="D86" s="78"/>
      <c r="E86" s="78"/>
      <c r="F86" s="78"/>
      <c r="G86" s="78"/>
      <c r="H86" s="1"/>
      <c r="I86" s="1"/>
      <c r="J86" s="1"/>
      <c r="K86" s="1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</row>
    <row r="87" spans="1:26" x14ac:dyDescent="0.2">
      <c r="A87" s="78"/>
      <c r="B87" s="144" t="str">
        <f>B70</f>
        <v>TITHINGS</v>
      </c>
      <c r="C87" s="197" t="e">
        <f>C70</f>
        <v>#DIV/0!</v>
      </c>
      <c r="D87" s="78"/>
      <c r="E87" s="78"/>
      <c r="F87" s="78"/>
      <c r="G87" s="78"/>
      <c r="H87" s="1"/>
      <c r="I87" s="1"/>
      <c r="J87" s="1"/>
      <c r="K87" s="1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</row>
    <row r="88" spans="1:26" ht="16" thickBot="1" x14ac:dyDescent="0.25">
      <c r="A88" s="78"/>
      <c r="B88" s="153" t="str">
        <f>B75</f>
        <v>DEBT REPAYMENT</v>
      </c>
      <c r="C88" s="198" t="e">
        <f>C75</f>
        <v>#DIV/0!</v>
      </c>
      <c r="D88" s="78"/>
      <c r="E88" s="78"/>
      <c r="F88" s="78"/>
      <c r="G88" s="78"/>
      <c r="H88" s="1"/>
      <c r="I88" s="1"/>
      <c r="J88" s="1"/>
      <c r="K88" s="1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</row>
    <row r="89" spans="1:26" x14ac:dyDescent="0.2">
      <c r="A89" s="78"/>
      <c r="B89" s="78"/>
      <c r="C89" s="78"/>
      <c r="D89" s="78"/>
      <c r="E89" s="78"/>
      <c r="F89" s="78"/>
      <c r="G89" s="78"/>
      <c r="H89" s="1"/>
      <c r="I89" s="1"/>
      <c r="J89" s="1"/>
      <c r="K89" s="1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</row>
    <row r="90" spans="1:26" x14ac:dyDescent="0.2">
      <c r="A90" s="78"/>
      <c r="B90" s="78"/>
      <c r="C90" s="78"/>
      <c r="D90" s="78"/>
      <c r="E90" s="78"/>
      <c r="F90" s="78"/>
      <c r="G90" s="78"/>
      <c r="H90" s="1"/>
      <c r="I90" s="1"/>
      <c r="J90" s="1"/>
      <c r="K90" s="1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</row>
    <row r="91" spans="1:26" x14ac:dyDescent="0.2">
      <c r="A91" s="78"/>
      <c r="B91" s="78"/>
      <c r="C91" s="78"/>
      <c r="D91" s="78"/>
      <c r="E91" s="78"/>
      <c r="F91" s="78"/>
      <c r="G91" s="78"/>
      <c r="H91" s="1"/>
      <c r="I91" s="1"/>
      <c r="J91" s="1"/>
      <c r="K91" s="1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</row>
    <row r="92" spans="1:26" x14ac:dyDescent="0.2">
      <c r="A92" s="78"/>
      <c r="B92" s="78"/>
      <c r="C92" s="78"/>
      <c r="D92" s="78"/>
      <c r="E92" s="78"/>
      <c r="F92" s="78"/>
      <c r="G92" s="78"/>
      <c r="H92" s="1"/>
      <c r="I92" s="1"/>
      <c r="J92" s="1"/>
      <c r="K92" s="1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</row>
    <row r="93" spans="1:26" x14ac:dyDescent="0.2">
      <c r="A93" s="78"/>
      <c r="B93" s="78"/>
      <c r="C93" s="78"/>
      <c r="D93" s="78"/>
      <c r="E93" s="78"/>
      <c r="F93" s="78"/>
      <c r="G93" s="78"/>
      <c r="H93" s="1"/>
      <c r="I93" s="1"/>
      <c r="J93" s="1"/>
      <c r="K93" s="1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</row>
    <row r="94" spans="1:26" x14ac:dyDescent="0.2">
      <c r="A94" s="78"/>
      <c r="B94" s="78"/>
      <c r="C94" s="78"/>
      <c r="D94" s="78"/>
      <c r="E94" s="78"/>
      <c r="F94" s="78"/>
      <c r="G94" s="78"/>
      <c r="H94" s="1"/>
      <c r="I94" s="1"/>
      <c r="J94" s="1"/>
      <c r="K94" s="1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</row>
    <row r="95" spans="1:26" x14ac:dyDescent="0.2">
      <c r="A95" s="78"/>
      <c r="B95" s="78"/>
      <c r="C95" s="78"/>
      <c r="D95" s="78"/>
      <c r="E95" s="78"/>
      <c r="F95" s="78"/>
      <c r="G95" s="78"/>
      <c r="H95" s="1"/>
      <c r="I95" s="1"/>
      <c r="J95" s="1"/>
      <c r="K95" s="1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</row>
    <row r="96" spans="1:26" x14ac:dyDescent="0.2">
      <c r="A96" s="78"/>
      <c r="B96" s="78"/>
      <c r="C96" s="78"/>
      <c r="D96" s="78"/>
      <c r="E96" s="78"/>
      <c r="F96" s="78"/>
      <c r="G96" s="1"/>
      <c r="H96" s="1"/>
      <c r="I96" s="1"/>
      <c r="J96" s="1"/>
      <c r="K96" s="1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</row>
    <row r="97" spans="1:26" x14ac:dyDescent="0.2">
      <c r="A97" s="78"/>
      <c r="B97" s="78"/>
      <c r="C97" s="78"/>
      <c r="D97" s="78"/>
      <c r="E97" s="78"/>
      <c r="F97" s="78"/>
      <c r="G97" s="1"/>
      <c r="H97" s="1"/>
      <c r="I97" s="1"/>
      <c r="J97" s="1"/>
      <c r="K97" s="1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</row>
    <row r="98" spans="1:26" x14ac:dyDescent="0.2">
      <c r="A98" s="78"/>
      <c r="B98" s="78"/>
      <c r="C98" s="78"/>
      <c r="D98" s="78"/>
      <c r="E98" s="78"/>
      <c r="F98" s="78"/>
      <c r="G98" s="1"/>
      <c r="H98" s="1"/>
      <c r="I98" s="1"/>
      <c r="J98" s="1"/>
      <c r="K98" s="1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</row>
    <row r="99" spans="1:26" x14ac:dyDescent="0.2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</row>
    <row r="100" spans="1:26" x14ac:dyDescent="0.2">
      <c r="A100" s="78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</row>
    <row r="101" spans="1:26" x14ac:dyDescent="0.2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</row>
    <row r="102" spans="1:26" x14ac:dyDescent="0.2">
      <c r="A102" s="78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</row>
    <row r="103" spans="1:26" x14ac:dyDescent="0.2">
      <c r="A103" s="78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</row>
    <row r="104" spans="1:26" x14ac:dyDescent="0.2">
      <c r="A104" s="78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</row>
    <row r="105" spans="1:26" x14ac:dyDescent="0.2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</row>
    <row r="106" spans="1:26" x14ac:dyDescent="0.2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</row>
    <row r="107" spans="1:26" x14ac:dyDescent="0.2">
      <c r="A107" s="78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</row>
    <row r="108" spans="1:26" x14ac:dyDescent="0.2">
      <c r="A108" s="78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</row>
  </sheetData>
  <mergeCells count="11">
    <mergeCell ref="D9:E9"/>
    <mergeCell ref="B2:I2"/>
    <mergeCell ref="B6:C6"/>
    <mergeCell ref="D6:F6"/>
    <mergeCell ref="D7:E7"/>
    <mergeCell ref="D8:E8"/>
    <mergeCell ref="D10:E10"/>
    <mergeCell ref="D12:E12"/>
    <mergeCell ref="D13:E13"/>
    <mergeCell ref="B15:F15"/>
    <mergeCell ref="H20:K20"/>
  </mergeCells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E0F7B-F5BC-4506-9F61-D2EBFB070249}">
  <dimension ref="A1:AI59"/>
  <sheetViews>
    <sheetView workbookViewId="0"/>
  </sheetViews>
  <sheetFormatPr baseColWidth="10" defaultColWidth="8.83203125" defaultRowHeight="15" x14ac:dyDescent="0.2"/>
  <cols>
    <col min="2" max="15" width="13.6640625" customWidth="1"/>
  </cols>
  <sheetData>
    <row r="1" spans="1:35" ht="16" thickBo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</row>
    <row r="2" spans="1:35" ht="16" thickBot="1" x14ac:dyDescent="0.25">
      <c r="A2" s="78"/>
      <c r="B2" s="199" t="s">
        <v>58</v>
      </c>
      <c r="C2" s="200"/>
      <c r="D2" s="200"/>
      <c r="E2" s="200"/>
      <c r="F2" s="200"/>
      <c r="G2" s="200"/>
      <c r="H2" s="200"/>
      <c r="I2" s="201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</row>
    <row r="3" spans="1:35" x14ac:dyDescent="0.2">
      <c r="A3" s="78"/>
      <c r="B3" s="140" t="s">
        <v>59</v>
      </c>
      <c r="C3" s="141" t="s">
        <v>20</v>
      </c>
      <c r="D3" s="141" t="s">
        <v>52</v>
      </c>
      <c r="E3" s="141" t="s">
        <v>12</v>
      </c>
      <c r="F3" s="142" t="s">
        <v>54</v>
      </c>
      <c r="G3" s="142" t="s">
        <v>14</v>
      </c>
      <c r="H3" s="142" t="s">
        <v>60</v>
      </c>
      <c r="I3" s="143" t="s">
        <v>55</v>
      </c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</row>
    <row r="4" spans="1:35" ht="16" thickBot="1" x14ac:dyDescent="0.25">
      <c r="A4" s="78"/>
      <c r="B4" s="32">
        <v>0</v>
      </c>
      <c r="C4" s="33">
        <v>0</v>
      </c>
      <c r="D4" s="33">
        <v>0</v>
      </c>
      <c r="E4" s="33">
        <v>0</v>
      </c>
      <c r="F4" s="34">
        <v>0</v>
      </c>
      <c r="G4" s="35">
        <v>0</v>
      </c>
      <c r="H4" s="35">
        <v>0</v>
      </c>
      <c r="I4" s="36">
        <v>0</v>
      </c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</row>
    <row r="5" spans="1:35" ht="16" thickBot="1" x14ac:dyDescent="0.25">
      <c r="A5" s="78"/>
      <c r="B5" s="15"/>
      <c r="C5" s="15"/>
      <c r="D5" s="15"/>
      <c r="E5" s="15"/>
      <c r="F5" s="15"/>
      <c r="G5" s="15"/>
      <c r="H5" s="15"/>
      <c r="I5" s="1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</row>
    <row r="6" spans="1:35" ht="16" thickBot="1" x14ac:dyDescent="0.25">
      <c r="A6" s="78"/>
      <c r="B6" s="202" t="s">
        <v>36</v>
      </c>
      <c r="C6" s="203"/>
      <c r="D6" s="203"/>
      <c r="E6" s="203"/>
      <c r="F6" s="203"/>
      <c r="G6" s="203"/>
      <c r="H6" s="203"/>
      <c r="I6" s="204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</row>
    <row r="7" spans="1:35" x14ac:dyDescent="0.2">
      <c r="A7" s="78"/>
      <c r="B7" s="156">
        <v>1</v>
      </c>
      <c r="C7" s="157"/>
      <c r="D7" s="157"/>
      <c r="E7" s="157"/>
      <c r="F7" s="157"/>
      <c r="G7" s="157"/>
      <c r="H7" s="157"/>
      <c r="I7" s="150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</row>
    <row r="8" spans="1:35" x14ac:dyDescent="0.2">
      <c r="A8" s="78"/>
      <c r="B8" s="156">
        <v>2</v>
      </c>
      <c r="C8" s="157"/>
      <c r="D8" s="157"/>
      <c r="E8" s="157"/>
      <c r="F8" s="157"/>
      <c r="G8" s="157"/>
      <c r="H8" s="157"/>
      <c r="I8" s="150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</row>
    <row r="9" spans="1:35" x14ac:dyDescent="0.2">
      <c r="A9" s="78"/>
      <c r="B9" s="156">
        <v>3</v>
      </c>
      <c r="C9" s="157"/>
      <c r="D9" s="157"/>
      <c r="E9" s="157"/>
      <c r="F9" s="157"/>
      <c r="G9" s="157"/>
      <c r="H9" s="157"/>
      <c r="I9" s="150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</row>
    <row r="10" spans="1:35" x14ac:dyDescent="0.2">
      <c r="A10" s="78"/>
      <c r="B10" s="156">
        <v>4</v>
      </c>
      <c r="C10" s="157"/>
      <c r="D10" s="157"/>
      <c r="E10" s="157"/>
      <c r="F10" s="157"/>
      <c r="G10" s="157"/>
      <c r="H10" s="157"/>
      <c r="I10" s="150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</row>
    <row r="11" spans="1:35" x14ac:dyDescent="0.2">
      <c r="A11" s="78"/>
      <c r="B11" s="156">
        <v>5</v>
      </c>
      <c r="C11" s="157"/>
      <c r="D11" s="157"/>
      <c r="E11" s="157"/>
      <c r="F11" s="157"/>
      <c r="G11" s="157"/>
      <c r="H11" s="157"/>
      <c r="I11" s="150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</row>
    <row r="12" spans="1:35" ht="16" thickBot="1" x14ac:dyDescent="0.25">
      <c r="A12" s="78"/>
      <c r="B12" s="158"/>
      <c r="C12" s="159"/>
      <c r="D12" s="159"/>
      <c r="E12" s="159"/>
      <c r="F12" s="159"/>
      <c r="G12" s="159"/>
      <c r="H12" s="159"/>
      <c r="I12" s="155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</row>
    <row r="13" spans="1:35" ht="16" thickBot="1" x14ac:dyDescent="0.25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</row>
    <row r="14" spans="1:35" ht="16" thickBot="1" x14ac:dyDescent="0.25">
      <c r="A14" s="78"/>
      <c r="B14" s="199" t="s">
        <v>33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1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</row>
    <row r="15" spans="1:35" x14ac:dyDescent="0.2">
      <c r="A15" s="78"/>
      <c r="B15" s="16"/>
      <c r="C15" s="13" t="s">
        <v>21</v>
      </c>
      <c r="D15" s="13" t="s">
        <v>22</v>
      </c>
      <c r="E15" s="13" t="s">
        <v>23</v>
      </c>
      <c r="F15" s="13" t="s">
        <v>24</v>
      </c>
      <c r="G15" s="13" t="s">
        <v>25</v>
      </c>
      <c r="H15" s="13" t="s">
        <v>26</v>
      </c>
      <c r="I15" s="13" t="s">
        <v>27</v>
      </c>
      <c r="J15" s="13" t="s">
        <v>28</v>
      </c>
      <c r="K15" s="13" t="s">
        <v>29</v>
      </c>
      <c r="L15" s="13" t="s">
        <v>30</v>
      </c>
      <c r="M15" s="13" t="s">
        <v>31</v>
      </c>
      <c r="N15" s="13" t="s">
        <v>32</v>
      </c>
      <c r="O15" s="14" t="s">
        <v>61</v>
      </c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</row>
    <row r="16" spans="1:35" x14ac:dyDescent="0.2">
      <c r="A16" s="78"/>
      <c r="B16" s="192" t="s">
        <v>2</v>
      </c>
      <c r="C16" s="18">
        <f>'Month 1'!F7</f>
        <v>0</v>
      </c>
      <c r="D16" s="18">
        <f>'Month 2'!F7</f>
        <v>0</v>
      </c>
      <c r="E16" s="18">
        <f>'Month 3'!F7</f>
        <v>0</v>
      </c>
      <c r="F16" s="18">
        <f>'Month 4'!F7</f>
        <v>0</v>
      </c>
      <c r="G16" s="18">
        <f>'Month 4'!F7</f>
        <v>0</v>
      </c>
      <c r="H16" s="18">
        <f>'Month 6'!F7</f>
        <v>0</v>
      </c>
      <c r="I16" s="18">
        <f>'Month 7'!F7</f>
        <v>0</v>
      </c>
      <c r="J16" s="18">
        <f>'Month 8'!F7</f>
        <v>0</v>
      </c>
      <c r="K16" s="18">
        <f>'Month 9'!F7</f>
        <v>0</v>
      </c>
      <c r="L16" s="18">
        <f>'Month 10'!F7</f>
        <v>0</v>
      </c>
      <c r="M16" s="18">
        <f>'Month 11'!F7</f>
        <v>0</v>
      </c>
      <c r="N16" s="18">
        <f>'Month 12'!F7</f>
        <v>0</v>
      </c>
      <c r="O16" s="19">
        <f>SUM(C16:N16)</f>
        <v>0</v>
      </c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</row>
    <row r="17" spans="1:35" x14ac:dyDescent="0.2">
      <c r="A17" s="78"/>
      <c r="B17" s="193" t="s">
        <v>34</v>
      </c>
      <c r="C17" s="161">
        <f>'Month 1'!F12</f>
        <v>0</v>
      </c>
      <c r="D17" s="162">
        <f>'Month 2'!F12</f>
        <v>0</v>
      </c>
      <c r="E17" s="162">
        <f>'Month 3'!F12</f>
        <v>0</v>
      </c>
      <c r="F17" s="162">
        <f>'Month 4'!F12</f>
        <v>0</v>
      </c>
      <c r="G17" s="162">
        <f>'Month 5'!F12</f>
        <v>0</v>
      </c>
      <c r="H17" s="162">
        <f>'Month 6'!F12</f>
        <v>0</v>
      </c>
      <c r="I17" s="162">
        <f>'Month 7'!F12</f>
        <v>0</v>
      </c>
      <c r="J17" s="162">
        <f>'Month 8'!F12</f>
        <v>0</v>
      </c>
      <c r="K17" s="162">
        <f>'Month 9'!F12</f>
        <v>0</v>
      </c>
      <c r="L17" s="162">
        <f>'Month 10'!F12</f>
        <v>0</v>
      </c>
      <c r="M17" s="162">
        <f>'Month 11'!F12</f>
        <v>0</v>
      </c>
      <c r="N17" s="162">
        <f>'Month 12'!F12</f>
        <v>0</v>
      </c>
      <c r="O17" s="163">
        <f>SUM(C17:N17)</f>
        <v>0</v>
      </c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</row>
    <row r="18" spans="1:35" ht="16" thickBot="1" x14ac:dyDescent="0.25">
      <c r="A18" s="78"/>
      <c r="B18" s="194" t="s">
        <v>35</v>
      </c>
      <c r="C18" s="160">
        <f>C16-C17</f>
        <v>0</v>
      </c>
      <c r="D18" s="160">
        <f t="shared" ref="D18:O18" si="0">D16-D17</f>
        <v>0</v>
      </c>
      <c r="E18" s="160">
        <f t="shared" si="0"/>
        <v>0</v>
      </c>
      <c r="F18" s="160">
        <f t="shared" si="0"/>
        <v>0</v>
      </c>
      <c r="G18" s="160">
        <f t="shared" si="0"/>
        <v>0</v>
      </c>
      <c r="H18" s="160">
        <f t="shared" si="0"/>
        <v>0</v>
      </c>
      <c r="I18" s="160">
        <f t="shared" si="0"/>
        <v>0</v>
      </c>
      <c r="J18" s="160">
        <f t="shared" si="0"/>
        <v>0</v>
      </c>
      <c r="K18" s="160">
        <f t="shared" si="0"/>
        <v>0</v>
      </c>
      <c r="L18" s="160">
        <f t="shared" si="0"/>
        <v>0</v>
      </c>
      <c r="M18" s="160">
        <f t="shared" si="0"/>
        <v>0</v>
      </c>
      <c r="N18" s="160">
        <f t="shared" si="0"/>
        <v>0</v>
      </c>
      <c r="O18" s="191">
        <f t="shared" si="0"/>
        <v>0</v>
      </c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</row>
    <row r="19" spans="1:35" x14ac:dyDescent="0.2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</row>
    <row r="20" spans="1:35" x14ac:dyDescent="0.2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</row>
    <row r="21" spans="1:35" x14ac:dyDescent="0.2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</row>
    <row r="22" spans="1:35" x14ac:dyDescent="0.2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</row>
    <row r="23" spans="1:35" x14ac:dyDescent="0.2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</row>
    <row r="24" spans="1:35" x14ac:dyDescent="0.2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</row>
    <row r="25" spans="1:35" x14ac:dyDescent="0.2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</row>
    <row r="26" spans="1:35" x14ac:dyDescent="0.2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</row>
    <row r="27" spans="1:35" x14ac:dyDescent="0.2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</row>
    <row r="28" spans="1:35" x14ac:dyDescent="0.2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</row>
    <row r="29" spans="1:35" x14ac:dyDescent="0.2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</row>
    <row r="30" spans="1:35" x14ac:dyDescent="0.2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</row>
    <row r="31" spans="1:35" x14ac:dyDescent="0.2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</row>
    <row r="32" spans="1:35" x14ac:dyDescent="0.2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</row>
    <row r="33" spans="1:35" x14ac:dyDescent="0.2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</row>
    <row r="34" spans="1:35" x14ac:dyDescent="0.2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</row>
    <row r="35" spans="1:35" x14ac:dyDescent="0.2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</row>
    <row r="36" spans="1:35" x14ac:dyDescent="0.2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</row>
    <row r="37" spans="1:35" x14ac:dyDescent="0.2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</row>
    <row r="38" spans="1:35" x14ac:dyDescent="0.2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</row>
    <row r="39" spans="1:35" x14ac:dyDescent="0.2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</row>
    <row r="40" spans="1:35" x14ac:dyDescent="0.2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</row>
    <row r="41" spans="1:35" x14ac:dyDescent="0.2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</row>
    <row r="42" spans="1:35" x14ac:dyDescent="0.2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</row>
    <row r="43" spans="1:35" x14ac:dyDescent="0.2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</row>
    <row r="44" spans="1:35" x14ac:dyDescent="0.2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</row>
    <row r="45" spans="1:35" x14ac:dyDescent="0.2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</row>
    <row r="46" spans="1:35" x14ac:dyDescent="0.2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</row>
    <row r="47" spans="1:35" x14ac:dyDescent="0.2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</row>
    <row r="48" spans="1:35" x14ac:dyDescent="0.2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</row>
    <row r="49" spans="1:35" x14ac:dyDescent="0.2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</row>
    <row r="50" spans="1:35" x14ac:dyDescent="0.2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</row>
    <row r="51" spans="1:35" x14ac:dyDescent="0.2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</row>
    <row r="52" spans="1:35" x14ac:dyDescent="0.2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</row>
    <row r="53" spans="1:35" x14ac:dyDescent="0.2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</row>
    <row r="54" spans="1:35" x14ac:dyDescent="0.2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</row>
    <row r="55" spans="1:35" x14ac:dyDescent="0.2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</row>
    <row r="56" spans="1:35" x14ac:dyDescent="0.2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</row>
    <row r="57" spans="1:35" x14ac:dyDescent="0.2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</row>
    <row r="58" spans="1:35" x14ac:dyDescent="0.2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</row>
    <row r="59" spans="1:35" x14ac:dyDescent="0.2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</row>
  </sheetData>
  <mergeCells count="3">
    <mergeCell ref="B2:I2"/>
    <mergeCell ref="B14:O14"/>
    <mergeCell ref="B6:I6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A75F3-82CD-4281-9EB0-0A15B985B33D}">
  <dimension ref="A1:X68"/>
  <sheetViews>
    <sheetView workbookViewId="0"/>
  </sheetViews>
  <sheetFormatPr baseColWidth="10" defaultColWidth="8.83203125" defaultRowHeight="15" x14ac:dyDescent="0.2"/>
  <cols>
    <col min="5" max="5" width="10.5" bestFit="1" customWidth="1"/>
    <col min="6" max="6" width="10.5" style="75" customWidth="1"/>
    <col min="8" max="8" width="10.5" bestFit="1" customWidth="1"/>
    <col min="9" max="10" width="10.5" style="75" customWidth="1"/>
  </cols>
  <sheetData>
    <row r="1" spans="1:24" ht="16" thickBo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4" ht="17" thickBot="1" x14ac:dyDescent="0.25">
      <c r="A2" s="78"/>
      <c r="B2" s="209" t="s">
        <v>209</v>
      </c>
      <c r="C2" s="210"/>
      <c r="D2" s="210"/>
      <c r="E2" s="211"/>
      <c r="F2" s="78"/>
      <c r="G2" s="173" t="s">
        <v>128</v>
      </c>
      <c r="H2" s="176">
        <v>-0.1</v>
      </c>
      <c r="I2" s="174" t="s">
        <v>12</v>
      </c>
      <c r="J2" s="181" t="s">
        <v>130</v>
      </c>
      <c r="K2" s="78"/>
      <c r="L2" s="212" t="s">
        <v>129</v>
      </c>
      <c r="M2" s="213"/>
      <c r="N2" s="172"/>
      <c r="O2" s="78"/>
      <c r="P2" s="78"/>
      <c r="Q2" s="78"/>
      <c r="R2" s="78"/>
      <c r="S2" s="78"/>
      <c r="T2" s="78"/>
      <c r="U2" s="78"/>
      <c r="V2" s="78"/>
      <c r="W2" s="78"/>
      <c r="X2" s="78"/>
    </row>
    <row r="3" spans="1:24" x14ac:dyDescent="0.2">
      <c r="A3" s="78"/>
      <c r="B3" s="144"/>
      <c r="C3" s="149"/>
      <c r="D3" s="149"/>
      <c r="E3" s="150"/>
      <c r="F3" s="78"/>
      <c r="G3" s="175">
        <v>1</v>
      </c>
      <c r="H3" s="182">
        <f>I3*0.9</f>
        <v>0</v>
      </c>
      <c r="I3" s="178">
        <f>$N$2</f>
        <v>0</v>
      </c>
      <c r="J3" s="183">
        <f>I3*1.1</f>
        <v>0</v>
      </c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</row>
    <row r="4" spans="1:24" x14ac:dyDescent="0.2">
      <c r="A4" s="78"/>
      <c r="B4" s="205" t="s">
        <v>126</v>
      </c>
      <c r="C4" s="206"/>
      <c r="D4" s="206"/>
      <c r="E4" s="164"/>
      <c r="F4" s="78"/>
      <c r="G4" s="170">
        <v>2</v>
      </c>
      <c r="H4" s="177">
        <f t="shared" ref="H4:H38" si="0">I4*0.9</f>
        <v>0</v>
      </c>
      <c r="I4" s="179">
        <f>$N$2+I3</f>
        <v>0</v>
      </c>
      <c r="J4" s="184">
        <f t="shared" ref="J4:J38" si="1">I4*1.1</f>
        <v>0</v>
      </c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24" s="75" customFormat="1" x14ac:dyDescent="0.2">
      <c r="A5" s="78"/>
      <c r="B5" s="167"/>
      <c r="C5" s="168"/>
      <c r="D5" s="149"/>
      <c r="E5" s="150"/>
      <c r="F5" s="78"/>
      <c r="G5" s="170">
        <v>3</v>
      </c>
      <c r="H5" s="177">
        <f t="shared" si="0"/>
        <v>0</v>
      </c>
      <c r="I5" s="179">
        <f t="shared" ref="I5:I38" si="2">$N$2+I4</f>
        <v>0</v>
      </c>
      <c r="J5" s="184">
        <f t="shared" si="1"/>
        <v>0</v>
      </c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</row>
    <row r="6" spans="1:24" s="75" customFormat="1" x14ac:dyDescent="0.2">
      <c r="A6" s="78"/>
      <c r="B6" s="205" t="s">
        <v>127</v>
      </c>
      <c r="C6" s="206"/>
      <c r="D6" s="206"/>
      <c r="E6" s="165"/>
      <c r="F6" s="78"/>
      <c r="G6" s="170">
        <v>4</v>
      </c>
      <c r="H6" s="177">
        <f t="shared" si="0"/>
        <v>0</v>
      </c>
      <c r="I6" s="179">
        <f t="shared" si="2"/>
        <v>0</v>
      </c>
      <c r="J6" s="184">
        <f t="shared" si="1"/>
        <v>0</v>
      </c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</row>
    <row r="7" spans="1:24" x14ac:dyDescent="0.2">
      <c r="A7" s="78"/>
      <c r="B7" s="144"/>
      <c r="C7" s="149"/>
      <c r="D7" s="149"/>
      <c r="E7" s="150"/>
      <c r="F7" s="78"/>
      <c r="G7" s="170">
        <v>5</v>
      </c>
      <c r="H7" s="177">
        <f t="shared" si="0"/>
        <v>0</v>
      </c>
      <c r="I7" s="179">
        <f t="shared" si="2"/>
        <v>0</v>
      </c>
      <c r="J7" s="184">
        <f t="shared" si="1"/>
        <v>0</v>
      </c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</row>
    <row r="8" spans="1:24" x14ac:dyDescent="0.2">
      <c r="A8" s="78"/>
      <c r="B8" s="205" t="s">
        <v>132</v>
      </c>
      <c r="C8" s="206"/>
      <c r="D8" s="206"/>
      <c r="E8" s="166"/>
      <c r="F8" s="78"/>
      <c r="G8" s="170">
        <v>6</v>
      </c>
      <c r="H8" s="177">
        <f t="shared" si="0"/>
        <v>0</v>
      </c>
      <c r="I8" s="179">
        <f t="shared" si="2"/>
        <v>0</v>
      </c>
      <c r="J8" s="184">
        <f t="shared" si="1"/>
        <v>0</v>
      </c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9" spans="1:24" x14ac:dyDescent="0.2">
      <c r="A9" s="78"/>
      <c r="B9" s="144"/>
      <c r="C9" s="149"/>
      <c r="D9" s="149"/>
      <c r="E9" s="150"/>
      <c r="F9" s="78"/>
      <c r="G9" s="170">
        <v>7</v>
      </c>
      <c r="H9" s="177">
        <f t="shared" si="0"/>
        <v>0</v>
      </c>
      <c r="I9" s="179">
        <f t="shared" si="2"/>
        <v>0</v>
      </c>
      <c r="J9" s="184">
        <f t="shared" si="1"/>
        <v>0</v>
      </c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  <row r="10" spans="1:24" ht="16" thickBot="1" x14ac:dyDescent="0.25">
      <c r="A10" s="78"/>
      <c r="B10" s="207" t="s">
        <v>125</v>
      </c>
      <c r="C10" s="208"/>
      <c r="D10" s="208"/>
      <c r="E10" s="169" t="e">
        <f>-PMT(E8/12,E6,,E4)</f>
        <v>#NUM!</v>
      </c>
      <c r="F10" s="78"/>
      <c r="G10" s="170">
        <v>8</v>
      </c>
      <c r="H10" s="177">
        <f t="shared" si="0"/>
        <v>0</v>
      </c>
      <c r="I10" s="179">
        <f t="shared" si="2"/>
        <v>0</v>
      </c>
      <c r="J10" s="184">
        <f t="shared" si="1"/>
        <v>0</v>
      </c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spans="1:24" x14ac:dyDescent="0.2">
      <c r="A11" s="78"/>
      <c r="B11" s="78"/>
      <c r="C11" s="78"/>
      <c r="D11" s="78"/>
      <c r="E11" s="78"/>
      <c r="F11" s="78"/>
      <c r="G11" s="170">
        <v>9</v>
      </c>
      <c r="H11" s="177">
        <f t="shared" si="0"/>
        <v>0</v>
      </c>
      <c r="I11" s="179">
        <f t="shared" si="2"/>
        <v>0</v>
      </c>
      <c r="J11" s="184">
        <f t="shared" si="1"/>
        <v>0</v>
      </c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spans="1:24" ht="16" thickBot="1" x14ac:dyDescent="0.25">
      <c r="A12" s="78"/>
      <c r="B12" s="78"/>
      <c r="C12" s="78"/>
      <c r="D12" s="78"/>
      <c r="E12" s="78"/>
      <c r="F12" s="78"/>
      <c r="G12" s="170">
        <v>10</v>
      </c>
      <c r="H12" s="177">
        <f t="shared" si="0"/>
        <v>0</v>
      </c>
      <c r="I12" s="179">
        <f t="shared" si="2"/>
        <v>0</v>
      </c>
      <c r="J12" s="184">
        <f t="shared" si="1"/>
        <v>0</v>
      </c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spans="1:24" ht="17" thickBot="1" x14ac:dyDescent="0.25">
      <c r="A13" s="78"/>
      <c r="B13" s="209" t="s">
        <v>210</v>
      </c>
      <c r="C13" s="210"/>
      <c r="D13" s="210"/>
      <c r="E13" s="211"/>
      <c r="F13" s="78"/>
      <c r="G13" s="170">
        <v>11</v>
      </c>
      <c r="H13" s="177">
        <f t="shared" si="0"/>
        <v>0</v>
      </c>
      <c r="I13" s="179">
        <f t="shared" si="2"/>
        <v>0</v>
      </c>
      <c r="J13" s="184">
        <f t="shared" si="1"/>
        <v>0</v>
      </c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spans="1:24" x14ac:dyDescent="0.2">
      <c r="A14" s="78"/>
      <c r="B14" s="144"/>
      <c r="C14" s="149"/>
      <c r="D14" s="149"/>
      <c r="E14" s="150"/>
      <c r="F14" s="78"/>
      <c r="G14" s="170">
        <v>12</v>
      </c>
      <c r="H14" s="177">
        <f t="shared" si="0"/>
        <v>0</v>
      </c>
      <c r="I14" s="179">
        <f t="shared" si="2"/>
        <v>0</v>
      </c>
      <c r="J14" s="184">
        <f t="shared" si="1"/>
        <v>0</v>
      </c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spans="1:24" x14ac:dyDescent="0.2">
      <c r="A15" s="78"/>
      <c r="B15" s="187" t="s">
        <v>126</v>
      </c>
      <c r="C15" s="188"/>
      <c r="D15" s="188"/>
      <c r="E15" s="164"/>
      <c r="F15" s="78"/>
      <c r="G15" s="170">
        <f>G14+1</f>
        <v>13</v>
      </c>
      <c r="H15" s="177">
        <f t="shared" si="0"/>
        <v>0</v>
      </c>
      <c r="I15" s="179">
        <f t="shared" si="2"/>
        <v>0</v>
      </c>
      <c r="J15" s="184">
        <f t="shared" si="1"/>
        <v>0</v>
      </c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spans="1:24" x14ac:dyDescent="0.2">
      <c r="A16" s="78"/>
      <c r="B16" s="167"/>
      <c r="C16" s="168"/>
      <c r="D16" s="149"/>
      <c r="E16" s="150"/>
      <c r="F16" s="78"/>
      <c r="G16" s="170">
        <f t="shared" ref="G16:G38" si="3">G15+1</f>
        <v>14</v>
      </c>
      <c r="H16" s="177">
        <f t="shared" si="0"/>
        <v>0</v>
      </c>
      <c r="I16" s="179">
        <f t="shared" si="2"/>
        <v>0</v>
      </c>
      <c r="J16" s="184">
        <f t="shared" si="1"/>
        <v>0</v>
      </c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spans="1:24" x14ac:dyDescent="0.2">
      <c r="A17" s="78"/>
      <c r="B17" s="205" t="s">
        <v>127</v>
      </c>
      <c r="C17" s="206"/>
      <c r="D17" s="206"/>
      <c r="E17" s="165"/>
      <c r="F17" s="78"/>
      <c r="G17" s="170">
        <f t="shared" si="3"/>
        <v>15</v>
      </c>
      <c r="H17" s="177">
        <f t="shared" si="0"/>
        <v>0</v>
      </c>
      <c r="I17" s="179">
        <f t="shared" si="2"/>
        <v>0</v>
      </c>
      <c r="J17" s="184">
        <f t="shared" si="1"/>
        <v>0</v>
      </c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spans="1:24" x14ac:dyDescent="0.2">
      <c r="A18" s="78"/>
      <c r="B18" s="144"/>
      <c r="C18" s="149"/>
      <c r="D18" s="149"/>
      <c r="E18" s="150"/>
      <c r="F18" s="78"/>
      <c r="G18" s="170">
        <f t="shared" si="3"/>
        <v>16</v>
      </c>
      <c r="H18" s="177">
        <f t="shared" si="0"/>
        <v>0</v>
      </c>
      <c r="I18" s="179">
        <f t="shared" si="2"/>
        <v>0</v>
      </c>
      <c r="J18" s="184">
        <f t="shared" si="1"/>
        <v>0</v>
      </c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</row>
    <row r="19" spans="1:24" x14ac:dyDescent="0.2">
      <c r="A19" s="78"/>
      <c r="B19" s="205" t="s">
        <v>132</v>
      </c>
      <c r="C19" s="206"/>
      <c r="D19" s="206"/>
      <c r="E19" s="166"/>
      <c r="F19" s="78"/>
      <c r="G19" s="170">
        <f t="shared" si="3"/>
        <v>17</v>
      </c>
      <c r="H19" s="177">
        <f t="shared" si="0"/>
        <v>0</v>
      </c>
      <c r="I19" s="179">
        <f t="shared" si="2"/>
        <v>0</v>
      </c>
      <c r="J19" s="184">
        <f t="shared" si="1"/>
        <v>0</v>
      </c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spans="1:24" x14ac:dyDescent="0.2">
      <c r="A20" s="78"/>
      <c r="B20" s="144"/>
      <c r="C20" s="149"/>
      <c r="D20" s="149"/>
      <c r="E20" s="150"/>
      <c r="F20" s="78"/>
      <c r="G20" s="170">
        <f t="shared" si="3"/>
        <v>18</v>
      </c>
      <c r="H20" s="177">
        <f t="shared" si="0"/>
        <v>0</v>
      </c>
      <c r="I20" s="179">
        <f t="shared" si="2"/>
        <v>0</v>
      </c>
      <c r="J20" s="184">
        <f t="shared" si="1"/>
        <v>0</v>
      </c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spans="1:24" ht="16" thickBot="1" x14ac:dyDescent="0.25">
      <c r="A21" s="78"/>
      <c r="B21" s="207" t="s">
        <v>125</v>
      </c>
      <c r="C21" s="208"/>
      <c r="D21" s="208"/>
      <c r="E21" s="169" t="e">
        <f>-PMT(E19/12,E17,E15)</f>
        <v>#NUM!</v>
      </c>
      <c r="F21" s="78"/>
      <c r="G21" s="170">
        <f t="shared" si="3"/>
        <v>19</v>
      </c>
      <c r="H21" s="177">
        <f t="shared" si="0"/>
        <v>0</v>
      </c>
      <c r="I21" s="179">
        <f t="shared" si="2"/>
        <v>0</v>
      </c>
      <c r="J21" s="184">
        <f t="shared" si="1"/>
        <v>0</v>
      </c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spans="1:24" x14ac:dyDescent="0.2">
      <c r="A22" s="78"/>
      <c r="B22" s="78"/>
      <c r="C22" s="78"/>
      <c r="D22" s="78"/>
      <c r="E22" s="78"/>
      <c r="F22" s="78"/>
      <c r="G22" s="170">
        <f t="shared" si="3"/>
        <v>20</v>
      </c>
      <c r="H22" s="177">
        <f t="shared" si="0"/>
        <v>0</v>
      </c>
      <c r="I22" s="179">
        <f t="shared" si="2"/>
        <v>0</v>
      </c>
      <c r="J22" s="184">
        <f t="shared" si="1"/>
        <v>0</v>
      </c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</row>
    <row r="23" spans="1:24" x14ac:dyDescent="0.2">
      <c r="A23" s="78"/>
      <c r="B23" s="78"/>
      <c r="C23" s="78"/>
      <c r="D23" s="78"/>
      <c r="E23" s="78"/>
      <c r="F23" s="78"/>
      <c r="G23" s="170">
        <f t="shared" si="3"/>
        <v>21</v>
      </c>
      <c r="H23" s="177">
        <f t="shared" si="0"/>
        <v>0</v>
      </c>
      <c r="I23" s="179">
        <f t="shared" si="2"/>
        <v>0</v>
      </c>
      <c r="J23" s="184">
        <f t="shared" si="1"/>
        <v>0</v>
      </c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</row>
    <row r="24" spans="1:24" x14ac:dyDescent="0.2">
      <c r="A24" s="78"/>
      <c r="B24" s="78"/>
      <c r="C24" s="78"/>
      <c r="D24" s="78"/>
      <c r="E24" s="78"/>
      <c r="F24" s="78"/>
      <c r="G24" s="170">
        <f t="shared" si="3"/>
        <v>22</v>
      </c>
      <c r="H24" s="177">
        <f t="shared" si="0"/>
        <v>0</v>
      </c>
      <c r="I24" s="179">
        <f t="shared" si="2"/>
        <v>0</v>
      </c>
      <c r="J24" s="184">
        <f t="shared" si="1"/>
        <v>0</v>
      </c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</row>
    <row r="25" spans="1:24" x14ac:dyDescent="0.2">
      <c r="A25" s="78"/>
      <c r="B25" s="78"/>
      <c r="C25" s="78"/>
      <c r="D25" s="78"/>
      <c r="E25" s="78"/>
      <c r="F25" s="78"/>
      <c r="G25" s="170">
        <f t="shared" si="3"/>
        <v>23</v>
      </c>
      <c r="H25" s="177">
        <f t="shared" si="0"/>
        <v>0</v>
      </c>
      <c r="I25" s="179">
        <f t="shared" si="2"/>
        <v>0</v>
      </c>
      <c r="J25" s="184">
        <f t="shared" si="1"/>
        <v>0</v>
      </c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</row>
    <row r="26" spans="1:24" x14ac:dyDescent="0.2">
      <c r="A26" s="78"/>
      <c r="B26" s="78"/>
      <c r="C26" s="78"/>
      <c r="D26" s="78"/>
      <c r="E26" s="78"/>
      <c r="F26" s="78"/>
      <c r="G26" s="170">
        <f t="shared" si="3"/>
        <v>24</v>
      </c>
      <c r="H26" s="177">
        <f t="shared" si="0"/>
        <v>0</v>
      </c>
      <c r="I26" s="179">
        <f t="shared" si="2"/>
        <v>0</v>
      </c>
      <c r="J26" s="184">
        <f t="shared" si="1"/>
        <v>0</v>
      </c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</row>
    <row r="27" spans="1:24" x14ac:dyDescent="0.2">
      <c r="A27" s="78"/>
      <c r="B27" s="78"/>
      <c r="C27" s="78"/>
      <c r="D27" s="78"/>
      <c r="E27" s="78"/>
      <c r="F27" s="78"/>
      <c r="G27" s="170">
        <f t="shared" si="3"/>
        <v>25</v>
      </c>
      <c r="H27" s="177">
        <f t="shared" si="0"/>
        <v>0</v>
      </c>
      <c r="I27" s="179">
        <f t="shared" si="2"/>
        <v>0</v>
      </c>
      <c r="J27" s="184">
        <f t="shared" si="1"/>
        <v>0</v>
      </c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</row>
    <row r="28" spans="1:24" x14ac:dyDescent="0.2">
      <c r="A28" s="78"/>
      <c r="B28" s="78"/>
      <c r="C28" s="78"/>
      <c r="D28" s="78"/>
      <c r="E28" s="78"/>
      <c r="F28" s="78"/>
      <c r="G28" s="170">
        <f t="shared" si="3"/>
        <v>26</v>
      </c>
      <c r="H28" s="177">
        <f t="shared" si="0"/>
        <v>0</v>
      </c>
      <c r="I28" s="179">
        <f t="shared" si="2"/>
        <v>0</v>
      </c>
      <c r="J28" s="184">
        <f t="shared" si="1"/>
        <v>0</v>
      </c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</row>
    <row r="29" spans="1:24" x14ac:dyDescent="0.2">
      <c r="A29" s="78"/>
      <c r="B29" s="78"/>
      <c r="C29" s="78"/>
      <c r="D29" s="78"/>
      <c r="E29" s="78"/>
      <c r="F29" s="78"/>
      <c r="G29" s="170">
        <f t="shared" si="3"/>
        <v>27</v>
      </c>
      <c r="H29" s="177">
        <f t="shared" si="0"/>
        <v>0</v>
      </c>
      <c r="I29" s="179">
        <f t="shared" si="2"/>
        <v>0</v>
      </c>
      <c r="J29" s="184">
        <f t="shared" si="1"/>
        <v>0</v>
      </c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</row>
    <row r="30" spans="1:24" x14ac:dyDescent="0.2">
      <c r="A30" s="78"/>
      <c r="B30" s="78"/>
      <c r="C30" s="78"/>
      <c r="D30" s="78"/>
      <c r="E30" s="78"/>
      <c r="F30" s="78"/>
      <c r="G30" s="170">
        <f t="shared" si="3"/>
        <v>28</v>
      </c>
      <c r="H30" s="177">
        <f t="shared" si="0"/>
        <v>0</v>
      </c>
      <c r="I30" s="179">
        <f t="shared" si="2"/>
        <v>0</v>
      </c>
      <c r="J30" s="184">
        <f t="shared" si="1"/>
        <v>0</v>
      </c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</row>
    <row r="31" spans="1:24" x14ac:dyDescent="0.2">
      <c r="A31" s="78"/>
      <c r="B31" s="78"/>
      <c r="C31" s="78"/>
      <c r="D31" s="78"/>
      <c r="E31" s="78"/>
      <c r="F31" s="78"/>
      <c r="G31" s="170">
        <f t="shared" si="3"/>
        <v>29</v>
      </c>
      <c r="H31" s="177">
        <f t="shared" si="0"/>
        <v>0</v>
      </c>
      <c r="I31" s="179">
        <f t="shared" si="2"/>
        <v>0</v>
      </c>
      <c r="J31" s="184">
        <f t="shared" si="1"/>
        <v>0</v>
      </c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</row>
    <row r="32" spans="1:24" x14ac:dyDescent="0.2">
      <c r="A32" s="78"/>
      <c r="B32" s="78"/>
      <c r="C32" s="78"/>
      <c r="D32" s="78"/>
      <c r="E32" s="189"/>
      <c r="F32" s="78"/>
      <c r="G32" s="170">
        <f t="shared" si="3"/>
        <v>30</v>
      </c>
      <c r="H32" s="177">
        <f t="shared" si="0"/>
        <v>0</v>
      </c>
      <c r="I32" s="179">
        <f t="shared" si="2"/>
        <v>0</v>
      </c>
      <c r="J32" s="184">
        <f t="shared" si="1"/>
        <v>0</v>
      </c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</row>
    <row r="33" spans="1:24" x14ac:dyDescent="0.2">
      <c r="A33" s="78"/>
      <c r="B33" s="78"/>
      <c r="C33" s="78"/>
      <c r="D33" s="78"/>
      <c r="E33" s="78"/>
      <c r="F33" s="78"/>
      <c r="G33" s="170">
        <f t="shared" si="3"/>
        <v>31</v>
      </c>
      <c r="H33" s="177">
        <f t="shared" si="0"/>
        <v>0</v>
      </c>
      <c r="I33" s="179">
        <f t="shared" si="2"/>
        <v>0</v>
      </c>
      <c r="J33" s="184">
        <f t="shared" si="1"/>
        <v>0</v>
      </c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</row>
    <row r="34" spans="1:24" x14ac:dyDescent="0.2">
      <c r="A34" s="78"/>
      <c r="B34" s="78"/>
      <c r="C34" s="78"/>
      <c r="D34" s="78"/>
      <c r="E34" s="78"/>
      <c r="F34" s="78"/>
      <c r="G34" s="170">
        <f t="shared" si="3"/>
        <v>32</v>
      </c>
      <c r="H34" s="177">
        <f t="shared" si="0"/>
        <v>0</v>
      </c>
      <c r="I34" s="179">
        <f t="shared" si="2"/>
        <v>0</v>
      </c>
      <c r="J34" s="184">
        <f t="shared" si="1"/>
        <v>0</v>
      </c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</row>
    <row r="35" spans="1:24" x14ac:dyDescent="0.2">
      <c r="A35" s="78"/>
      <c r="B35" s="78"/>
      <c r="C35" s="78"/>
      <c r="D35" s="78"/>
      <c r="E35" s="78"/>
      <c r="F35" s="78"/>
      <c r="G35" s="170">
        <f t="shared" si="3"/>
        <v>33</v>
      </c>
      <c r="H35" s="177">
        <f t="shared" si="0"/>
        <v>0</v>
      </c>
      <c r="I35" s="179">
        <f t="shared" si="2"/>
        <v>0</v>
      </c>
      <c r="J35" s="184">
        <f t="shared" si="1"/>
        <v>0</v>
      </c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</row>
    <row r="36" spans="1:24" x14ac:dyDescent="0.2">
      <c r="A36" s="78"/>
      <c r="B36" s="78"/>
      <c r="C36" s="78"/>
      <c r="D36" s="78"/>
      <c r="E36" s="78"/>
      <c r="F36" s="78"/>
      <c r="G36" s="170">
        <f t="shared" si="3"/>
        <v>34</v>
      </c>
      <c r="H36" s="177">
        <f t="shared" si="0"/>
        <v>0</v>
      </c>
      <c r="I36" s="179">
        <f t="shared" si="2"/>
        <v>0</v>
      </c>
      <c r="J36" s="184">
        <f t="shared" si="1"/>
        <v>0</v>
      </c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</row>
    <row r="37" spans="1:24" x14ac:dyDescent="0.2">
      <c r="A37" s="78"/>
      <c r="B37" s="78"/>
      <c r="C37" s="78"/>
      <c r="D37" s="78"/>
      <c r="E37" s="78"/>
      <c r="F37" s="78"/>
      <c r="G37" s="170">
        <f t="shared" si="3"/>
        <v>35</v>
      </c>
      <c r="H37" s="177">
        <f t="shared" si="0"/>
        <v>0</v>
      </c>
      <c r="I37" s="179">
        <f t="shared" si="2"/>
        <v>0</v>
      </c>
      <c r="J37" s="184">
        <f t="shared" si="1"/>
        <v>0</v>
      </c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</row>
    <row r="38" spans="1:24" ht="16" thickBot="1" x14ac:dyDescent="0.25">
      <c r="A38" s="78"/>
      <c r="B38" s="78"/>
      <c r="C38" s="78"/>
      <c r="D38" s="78"/>
      <c r="E38" s="78"/>
      <c r="F38" s="78"/>
      <c r="G38" s="171">
        <f t="shared" si="3"/>
        <v>36</v>
      </c>
      <c r="H38" s="185">
        <f t="shared" si="0"/>
        <v>0</v>
      </c>
      <c r="I38" s="180">
        <f t="shared" si="2"/>
        <v>0</v>
      </c>
      <c r="J38" s="186">
        <f t="shared" si="1"/>
        <v>0</v>
      </c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</row>
    <row r="39" spans="1:24" x14ac:dyDescent="0.2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</row>
    <row r="40" spans="1:24" x14ac:dyDescent="0.2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</row>
    <row r="41" spans="1:24" x14ac:dyDescent="0.2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</row>
    <row r="42" spans="1:24" x14ac:dyDescent="0.2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</row>
    <row r="43" spans="1:24" x14ac:dyDescent="0.2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</row>
    <row r="44" spans="1:24" x14ac:dyDescent="0.2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</row>
    <row r="45" spans="1:24" x14ac:dyDescent="0.2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</row>
    <row r="46" spans="1:24" x14ac:dyDescent="0.2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</row>
    <row r="47" spans="1:24" x14ac:dyDescent="0.2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</row>
    <row r="48" spans="1:24" x14ac:dyDescent="0.2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</row>
    <row r="49" spans="1:24" x14ac:dyDescent="0.2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</row>
    <row r="50" spans="1:24" x14ac:dyDescent="0.2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</row>
    <row r="51" spans="1:24" x14ac:dyDescent="0.2">
      <c r="M51" s="78"/>
    </row>
    <row r="52" spans="1:24" x14ac:dyDescent="0.2">
      <c r="M52" s="78"/>
    </row>
    <row r="53" spans="1:24" x14ac:dyDescent="0.2">
      <c r="M53" s="78"/>
    </row>
    <row r="54" spans="1:24" x14ac:dyDescent="0.2">
      <c r="M54" s="78"/>
    </row>
    <row r="55" spans="1:24" x14ac:dyDescent="0.2">
      <c r="M55" s="78"/>
    </row>
    <row r="56" spans="1:24" x14ac:dyDescent="0.2">
      <c r="M56" s="78"/>
    </row>
    <row r="57" spans="1:24" x14ac:dyDescent="0.2">
      <c r="M57" s="78"/>
    </row>
    <row r="58" spans="1:24" x14ac:dyDescent="0.2">
      <c r="M58" s="78"/>
    </row>
    <row r="59" spans="1:24" x14ac:dyDescent="0.2">
      <c r="M59" s="78"/>
    </row>
    <row r="60" spans="1:24" x14ac:dyDescent="0.2">
      <c r="M60" s="78"/>
    </row>
    <row r="61" spans="1:24" x14ac:dyDescent="0.2">
      <c r="M61" s="78"/>
    </row>
    <row r="62" spans="1:24" x14ac:dyDescent="0.2">
      <c r="M62" s="78"/>
    </row>
    <row r="63" spans="1:24" x14ac:dyDescent="0.2">
      <c r="M63" s="78"/>
    </row>
    <row r="64" spans="1:24" x14ac:dyDescent="0.2">
      <c r="M64" s="78"/>
    </row>
    <row r="65" spans="13:13" x14ac:dyDescent="0.2">
      <c r="M65" s="78"/>
    </row>
    <row r="66" spans="13:13" x14ac:dyDescent="0.2">
      <c r="M66" s="78"/>
    </row>
    <row r="67" spans="13:13" x14ac:dyDescent="0.2">
      <c r="M67" s="78"/>
    </row>
    <row r="68" spans="13:13" x14ac:dyDescent="0.2">
      <c r="M68" s="78"/>
    </row>
  </sheetData>
  <mergeCells count="10">
    <mergeCell ref="B17:D17"/>
    <mergeCell ref="B19:D19"/>
    <mergeCell ref="B21:D21"/>
    <mergeCell ref="B13:E13"/>
    <mergeCell ref="L2:M2"/>
    <mergeCell ref="B4:D4"/>
    <mergeCell ref="B6:D6"/>
    <mergeCell ref="B8:D8"/>
    <mergeCell ref="B10:D10"/>
    <mergeCell ref="B2:E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BB4D1-E15C-4A2E-AE42-946F0BAB0FD4}">
  <dimension ref="A1:Z108"/>
  <sheetViews>
    <sheetView topLeftCell="A9" workbookViewId="0">
      <selection activeCell="H22" sqref="H22:K52"/>
    </sheetView>
  </sheetViews>
  <sheetFormatPr baseColWidth="10" defaultColWidth="8.83203125" defaultRowHeight="15" x14ac:dyDescent="0.2"/>
  <cols>
    <col min="1" max="1" width="10.6640625" customWidth="1"/>
    <col min="2" max="2" width="21.1640625" customWidth="1"/>
    <col min="3" max="6" width="10.6640625" customWidth="1"/>
    <col min="7" max="7" width="11" customWidth="1"/>
    <col min="8" max="8" width="12.6640625" customWidth="1"/>
    <col min="9" max="9" width="31.5" customWidth="1"/>
    <col min="10" max="10" width="15.6640625" customWidth="1"/>
    <col min="11" max="11" width="11.6640625" customWidth="1"/>
    <col min="14" max="19" width="10.6640625" customWidth="1"/>
  </cols>
  <sheetData>
    <row r="1" spans="1:26" ht="16" thickBo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ht="20" thickBot="1" x14ac:dyDescent="0.3">
      <c r="A2" s="17"/>
      <c r="B2" s="214" t="s">
        <v>157</v>
      </c>
      <c r="C2" s="215"/>
      <c r="D2" s="215"/>
      <c r="E2" s="215"/>
      <c r="F2" s="215"/>
      <c r="G2" s="215"/>
      <c r="H2" s="215"/>
      <c r="I2" s="216"/>
      <c r="J2" s="17"/>
      <c r="K2" s="17"/>
      <c r="L2" s="17"/>
      <c r="M2" s="17"/>
      <c r="N2" s="17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26" x14ac:dyDescent="0.2">
      <c r="A3" s="17"/>
      <c r="B3" s="140" t="s">
        <v>59</v>
      </c>
      <c r="C3" s="141" t="s">
        <v>20</v>
      </c>
      <c r="D3" s="141" t="s">
        <v>52</v>
      </c>
      <c r="E3" s="141" t="s">
        <v>12</v>
      </c>
      <c r="F3" s="142" t="s">
        <v>54</v>
      </c>
      <c r="G3" s="142" t="s">
        <v>14</v>
      </c>
      <c r="H3" s="142" t="s">
        <v>60</v>
      </c>
      <c r="I3" s="143" t="s">
        <v>55</v>
      </c>
      <c r="J3" s="17"/>
      <c r="K3" s="17"/>
      <c r="L3" s="17"/>
      <c r="M3" s="17"/>
      <c r="N3" s="17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26" ht="16" thickBot="1" x14ac:dyDescent="0.25">
      <c r="A4" s="17"/>
      <c r="B4" s="95">
        <v>60</v>
      </c>
      <c r="C4" s="96">
        <v>540</v>
      </c>
      <c r="D4" s="96">
        <v>300</v>
      </c>
      <c r="E4" s="96">
        <v>2500</v>
      </c>
      <c r="F4" s="97">
        <v>0</v>
      </c>
      <c r="G4" s="98">
        <v>0</v>
      </c>
      <c r="H4" s="98">
        <v>1000</v>
      </c>
      <c r="I4" s="99">
        <v>280</v>
      </c>
      <c r="J4" s="17"/>
      <c r="K4" s="17"/>
      <c r="L4" s="17"/>
      <c r="M4" s="17"/>
      <c r="N4" s="17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26" ht="16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spans="1:26" ht="19" x14ac:dyDescent="0.25">
      <c r="A6" s="17"/>
      <c r="B6" s="217" t="s">
        <v>158</v>
      </c>
      <c r="C6" s="218"/>
      <c r="D6" s="219" t="s">
        <v>159</v>
      </c>
      <c r="E6" s="220"/>
      <c r="F6" s="221"/>
      <c r="G6" s="17"/>
      <c r="H6" s="1"/>
      <c r="I6" s="1"/>
      <c r="J6" s="1"/>
      <c r="K6" s="1"/>
      <c r="L6" s="17"/>
      <c r="M6" s="17"/>
      <c r="N6" s="17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pans="1:26" x14ac:dyDescent="0.2">
      <c r="A7" s="17"/>
      <c r="B7" s="117" t="s">
        <v>2</v>
      </c>
      <c r="C7" s="118">
        <v>800</v>
      </c>
      <c r="D7" s="222" t="str">
        <f t="shared" ref="D7" si="0">B7</f>
        <v>Income</v>
      </c>
      <c r="E7" s="223"/>
      <c r="F7" s="119">
        <f>F27</f>
        <v>800</v>
      </c>
      <c r="G7" s="17"/>
      <c r="H7" s="1"/>
      <c r="I7" s="1"/>
      <c r="J7" s="1"/>
      <c r="K7" s="1"/>
      <c r="L7" s="17"/>
      <c r="M7" s="17"/>
      <c r="N7" s="17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</row>
    <row r="8" spans="1:26" s="75" customFormat="1" x14ac:dyDescent="0.2">
      <c r="A8" s="78"/>
      <c r="B8" s="120" t="s">
        <v>12</v>
      </c>
      <c r="C8" s="121">
        <f>SUM(F66:F68)</f>
        <v>60</v>
      </c>
      <c r="D8" s="228" t="str">
        <f t="shared" ref="D8:D13" si="1">B8</f>
        <v>Savings</v>
      </c>
      <c r="E8" s="229"/>
      <c r="F8" s="122">
        <f>D65</f>
        <v>60</v>
      </c>
      <c r="G8" s="78"/>
      <c r="H8" s="1"/>
      <c r="I8" s="1"/>
      <c r="J8" s="1"/>
      <c r="K8" s="1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</row>
    <row r="9" spans="1:26" x14ac:dyDescent="0.2">
      <c r="A9" s="17"/>
      <c r="B9" s="123" t="s">
        <v>120</v>
      </c>
      <c r="C9" s="124">
        <f>SUM(F72:F73)</f>
        <v>80</v>
      </c>
      <c r="D9" s="232" t="str">
        <f t="shared" si="1"/>
        <v>Tithing</v>
      </c>
      <c r="E9" s="232"/>
      <c r="F9" s="125">
        <f>D71</f>
        <v>80</v>
      </c>
      <c r="G9" s="17"/>
      <c r="H9" s="1"/>
      <c r="I9" s="1"/>
      <c r="J9" s="1"/>
      <c r="K9" s="1"/>
      <c r="L9" s="17"/>
      <c r="M9" s="17"/>
      <c r="N9" s="17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</row>
    <row r="10" spans="1:26" s="75" customFormat="1" x14ac:dyDescent="0.2">
      <c r="A10" s="78"/>
      <c r="B10" s="126" t="s">
        <v>14</v>
      </c>
      <c r="C10" s="127">
        <f>SUM(F77:F79)</f>
        <v>0</v>
      </c>
      <c r="D10" s="230" t="str">
        <f t="shared" si="1"/>
        <v>Debt</v>
      </c>
      <c r="E10" s="231"/>
      <c r="F10" s="128">
        <f>D76</f>
        <v>0</v>
      </c>
      <c r="G10" s="78"/>
      <c r="H10" s="1"/>
      <c r="I10" s="1"/>
      <c r="J10" s="1"/>
      <c r="K10" s="1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</row>
    <row r="11" spans="1:26" s="75" customFormat="1" x14ac:dyDescent="0.2">
      <c r="A11" s="78"/>
      <c r="B11" s="129" t="s">
        <v>124</v>
      </c>
      <c r="C11" s="130">
        <f>C7-C8-C9-C10</f>
        <v>660</v>
      </c>
      <c r="D11" s="131" t="str">
        <f t="shared" si="1"/>
        <v>Budgeted</v>
      </c>
      <c r="E11" s="132"/>
      <c r="F11" s="133">
        <f>F7-F8-F9-F10</f>
        <v>660</v>
      </c>
      <c r="G11" s="78"/>
      <c r="H11" s="1"/>
      <c r="I11" s="1"/>
      <c r="J11" s="1"/>
      <c r="K11" s="1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</row>
    <row r="12" spans="1:26" s="75" customFormat="1" x14ac:dyDescent="0.2">
      <c r="A12" s="78"/>
      <c r="B12" s="134" t="s">
        <v>0</v>
      </c>
      <c r="C12" s="135">
        <f>F62</f>
        <v>660</v>
      </c>
      <c r="D12" s="224" t="str">
        <f t="shared" si="1"/>
        <v>Expenses</v>
      </c>
      <c r="E12" s="225"/>
      <c r="F12" s="136">
        <f>E62</f>
        <v>656.33</v>
      </c>
      <c r="G12" s="78"/>
      <c r="H12" s="1"/>
      <c r="I12" s="1"/>
      <c r="J12" s="1"/>
      <c r="K12" s="1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</row>
    <row r="13" spans="1:26" ht="16" thickBot="1" x14ac:dyDescent="0.25">
      <c r="A13" s="17"/>
      <c r="B13" s="137" t="s">
        <v>123</v>
      </c>
      <c r="C13" s="138">
        <f>C11-C12</f>
        <v>0</v>
      </c>
      <c r="D13" s="226" t="str">
        <f t="shared" si="1"/>
        <v>Remaining</v>
      </c>
      <c r="E13" s="227"/>
      <c r="F13" s="139">
        <f>F11-F12</f>
        <v>3.6699999999999591</v>
      </c>
      <c r="G13" s="17"/>
      <c r="H13" s="1"/>
      <c r="I13" s="1"/>
      <c r="J13" s="1"/>
      <c r="K13" s="1"/>
      <c r="L13" s="17"/>
      <c r="M13" s="17"/>
      <c r="N13" s="17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</row>
    <row r="14" spans="1:26" ht="16" thickBot="1" x14ac:dyDescent="0.25">
      <c r="A14" s="17"/>
      <c r="B14" s="17"/>
      <c r="C14" s="17"/>
      <c r="D14" s="17"/>
      <c r="E14" s="17"/>
      <c r="F14" s="17"/>
      <c r="G14" s="17"/>
      <c r="H14" s="1"/>
      <c r="I14" s="1"/>
      <c r="J14" s="1"/>
      <c r="K14" s="1"/>
      <c r="L14" s="17"/>
      <c r="M14" s="17"/>
      <c r="N14" s="17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</row>
    <row r="15" spans="1:26" ht="20" thickBot="1" x14ac:dyDescent="0.3">
      <c r="A15" s="17"/>
      <c r="B15" s="214" t="s">
        <v>160</v>
      </c>
      <c r="C15" s="215"/>
      <c r="D15" s="215"/>
      <c r="E15" s="215"/>
      <c r="F15" s="216"/>
      <c r="G15" s="17"/>
      <c r="H15" s="1"/>
      <c r="I15" s="1"/>
      <c r="J15" s="1"/>
      <c r="K15" s="1"/>
      <c r="L15" s="17"/>
      <c r="M15" s="17"/>
      <c r="N15" s="17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</row>
    <row r="16" spans="1:26" ht="17" thickBot="1" x14ac:dyDescent="0.25">
      <c r="A16" s="17"/>
      <c r="B16" s="63" t="s">
        <v>2</v>
      </c>
      <c r="C16" s="64"/>
      <c r="D16" s="65"/>
      <c r="E16" s="65"/>
      <c r="F16" s="66"/>
      <c r="G16" s="17"/>
      <c r="H16" s="1"/>
      <c r="I16" s="1"/>
      <c r="J16" s="1"/>
      <c r="K16" s="1"/>
      <c r="L16" s="17"/>
      <c r="M16" s="17"/>
      <c r="N16" s="17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</row>
    <row r="17" spans="1:26" x14ac:dyDescent="0.2">
      <c r="A17" s="17"/>
      <c r="B17" s="4" t="s">
        <v>45</v>
      </c>
      <c r="C17" s="2"/>
      <c r="D17" s="2"/>
      <c r="E17" s="2"/>
      <c r="F17" s="62">
        <v>180</v>
      </c>
      <c r="G17" s="17"/>
      <c r="H17" s="1"/>
      <c r="I17" s="1"/>
      <c r="J17" s="1"/>
      <c r="K17" s="1"/>
      <c r="L17" s="17"/>
      <c r="M17" s="17"/>
      <c r="N17" s="17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</row>
    <row r="18" spans="1:26" x14ac:dyDescent="0.2">
      <c r="A18" s="17"/>
      <c r="B18" s="4" t="s">
        <v>45</v>
      </c>
      <c r="C18" s="2"/>
      <c r="D18" s="2"/>
      <c r="E18" s="2"/>
      <c r="F18" s="55">
        <v>230</v>
      </c>
      <c r="G18" s="17"/>
      <c r="H18" s="1"/>
      <c r="I18" s="1"/>
      <c r="J18" s="1"/>
      <c r="K18" s="1"/>
      <c r="L18" s="17"/>
      <c r="M18" s="17"/>
      <c r="N18" s="17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</row>
    <row r="19" spans="1:26" ht="16" thickBot="1" x14ac:dyDescent="0.25">
      <c r="A19" s="17"/>
      <c r="B19" s="4" t="s">
        <v>96</v>
      </c>
      <c r="C19" s="2"/>
      <c r="D19" s="2"/>
      <c r="E19" s="2"/>
      <c r="F19" s="55">
        <v>140</v>
      </c>
      <c r="G19" s="17"/>
      <c r="H19" s="17"/>
      <c r="I19" s="17"/>
      <c r="J19" s="17"/>
      <c r="K19" s="17"/>
      <c r="L19" s="17"/>
      <c r="M19" s="17"/>
      <c r="N19" s="17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</row>
    <row r="20" spans="1:26" ht="20" thickBot="1" x14ac:dyDescent="0.3">
      <c r="A20" s="17"/>
      <c r="B20" s="4" t="s">
        <v>46</v>
      </c>
      <c r="C20" s="2"/>
      <c r="D20" s="2"/>
      <c r="E20" s="2"/>
      <c r="F20" s="55">
        <v>250</v>
      </c>
      <c r="G20" s="17"/>
      <c r="H20" s="214" t="s">
        <v>161</v>
      </c>
      <c r="I20" s="215"/>
      <c r="J20" s="215"/>
      <c r="K20" s="216"/>
      <c r="L20" s="17"/>
      <c r="M20" s="17"/>
      <c r="N20" s="17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</row>
    <row r="21" spans="1:26" x14ac:dyDescent="0.2">
      <c r="A21" s="17"/>
      <c r="B21" s="4"/>
      <c r="C21" s="2"/>
      <c r="D21" s="2"/>
      <c r="E21" s="2"/>
      <c r="F21" s="55"/>
      <c r="G21" s="17"/>
      <c r="H21" s="8" t="s">
        <v>5</v>
      </c>
      <c r="I21" s="8" t="s">
        <v>7</v>
      </c>
      <c r="J21" s="8" t="s">
        <v>8</v>
      </c>
      <c r="K21" s="11" t="s">
        <v>6</v>
      </c>
      <c r="L21" s="17"/>
      <c r="M21" s="17"/>
      <c r="N21" s="17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</row>
    <row r="22" spans="1:26" x14ac:dyDescent="0.2">
      <c r="A22" s="17"/>
      <c r="B22" s="4"/>
      <c r="C22" s="2"/>
      <c r="D22" s="2"/>
      <c r="E22" s="2"/>
      <c r="F22" s="55"/>
      <c r="G22" s="17"/>
      <c r="H22" s="79">
        <v>43831</v>
      </c>
      <c r="I22" s="76" t="s">
        <v>78</v>
      </c>
      <c r="J22" s="76" t="s">
        <v>79</v>
      </c>
      <c r="K22" s="77">
        <v>300</v>
      </c>
      <c r="L22" s="17"/>
      <c r="M22" s="17"/>
      <c r="N22" s="17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</row>
    <row r="23" spans="1:26" x14ac:dyDescent="0.2">
      <c r="A23" s="17"/>
      <c r="B23" s="4"/>
      <c r="C23" s="2"/>
      <c r="D23" s="2"/>
      <c r="E23" s="2"/>
      <c r="F23" s="55"/>
      <c r="G23" s="17"/>
      <c r="H23" s="79">
        <v>43831</v>
      </c>
      <c r="I23" s="76" t="s">
        <v>80</v>
      </c>
      <c r="J23" s="76" t="s">
        <v>38</v>
      </c>
      <c r="K23" s="77">
        <v>40</v>
      </c>
      <c r="L23" s="17"/>
      <c r="M23" s="17"/>
      <c r="N23" s="17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</row>
    <row r="24" spans="1:26" x14ac:dyDescent="0.2">
      <c r="A24" s="17"/>
      <c r="B24" s="4"/>
      <c r="C24" s="2"/>
      <c r="D24" s="2"/>
      <c r="E24" s="2"/>
      <c r="F24" s="55"/>
      <c r="G24" s="17"/>
      <c r="H24" s="79">
        <v>43831</v>
      </c>
      <c r="I24" s="76" t="s">
        <v>105</v>
      </c>
      <c r="J24" s="76" t="s">
        <v>55</v>
      </c>
      <c r="K24" s="77">
        <v>20</v>
      </c>
      <c r="L24" s="17"/>
      <c r="M24" s="17"/>
      <c r="N24" s="17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</row>
    <row r="25" spans="1:26" x14ac:dyDescent="0.2">
      <c r="A25" s="17"/>
      <c r="B25" s="4"/>
      <c r="C25" s="2"/>
      <c r="D25" s="2"/>
      <c r="E25" s="2"/>
      <c r="F25" s="55"/>
      <c r="G25" s="17"/>
      <c r="H25" s="79">
        <v>43832</v>
      </c>
      <c r="I25" s="76" t="s">
        <v>97</v>
      </c>
      <c r="J25" s="76" t="s">
        <v>63</v>
      </c>
      <c r="K25" s="77">
        <v>8.56</v>
      </c>
      <c r="L25" s="17"/>
      <c r="M25" s="17"/>
      <c r="N25" s="17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</row>
    <row r="26" spans="1:26" x14ac:dyDescent="0.2">
      <c r="A26" s="17"/>
      <c r="B26" s="5"/>
      <c r="C26" s="2"/>
      <c r="D26" s="2"/>
      <c r="E26" s="2"/>
      <c r="F26" s="56"/>
      <c r="G26" s="17"/>
      <c r="H26" s="79">
        <v>43832</v>
      </c>
      <c r="I26" s="76" t="s">
        <v>98</v>
      </c>
      <c r="J26" s="76" t="s">
        <v>64</v>
      </c>
      <c r="K26" s="77">
        <v>22.3</v>
      </c>
      <c r="L26" s="17"/>
      <c r="M26" s="17"/>
      <c r="N26" s="17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</row>
    <row r="27" spans="1:26" s="41" customFormat="1" ht="16" thickBot="1" x14ac:dyDescent="0.25">
      <c r="A27" s="17"/>
      <c r="B27" s="6" t="s">
        <v>3</v>
      </c>
      <c r="C27" s="7"/>
      <c r="D27" s="58"/>
      <c r="E27" s="58"/>
      <c r="F27" s="57">
        <f>SUM(F17:F26)</f>
        <v>800</v>
      </c>
      <c r="G27" s="17"/>
      <c r="H27" s="79">
        <v>43832</v>
      </c>
      <c r="I27" s="76" t="s">
        <v>102</v>
      </c>
      <c r="J27" s="76" t="s">
        <v>42</v>
      </c>
      <c r="K27" s="77">
        <v>24.76</v>
      </c>
      <c r="L27" s="17"/>
      <c r="M27" s="17"/>
      <c r="N27" s="17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</row>
    <row r="28" spans="1:26" ht="16" thickBot="1" x14ac:dyDescent="0.25">
      <c r="A28" s="17"/>
      <c r="B28" s="59"/>
      <c r="C28" s="60"/>
      <c r="D28" s="60"/>
      <c r="E28" s="60"/>
      <c r="F28" s="61"/>
      <c r="G28" s="17"/>
      <c r="H28" s="79">
        <v>43834</v>
      </c>
      <c r="I28" s="76" t="s">
        <v>99</v>
      </c>
      <c r="J28" s="76" t="s">
        <v>65</v>
      </c>
      <c r="K28" s="77">
        <v>2.59</v>
      </c>
      <c r="L28" s="17"/>
      <c r="M28" s="17"/>
      <c r="N28" s="17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</row>
    <row r="29" spans="1:26" ht="17" thickBot="1" x14ac:dyDescent="0.25">
      <c r="A29" s="17"/>
      <c r="B29" s="51" t="s">
        <v>0</v>
      </c>
      <c r="C29" s="49"/>
      <c r="D29" s="49"/>
      <c r="E29" s="49"/>
      <c r="F29" s="68" t="s">
        <v>1</v>
      </c>
      <c r="G29" s="17"/>
      <c r="H29" s="79">
        <v>43835</v>
      </c>
      <c r="I29" s="76" t="s">
        <v>100</v>
      </c>
      <c r="J29" s="76" t="s">
        <v>76</v>
      </c>
      <c r="K29" s="77">
        <v>13.99</v>
      </c>
      <c r="L29" s="17"/>
      <c r="M29" s="17"/>
      <c r="N29" s="17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</row>
    <row r="30" spans="1:26" x14ac:dyDescent="0.2">
      <c r="A30" s="17"/>
      <c r="B30" s="67" t="s">
        <v>87</v>
      </c>
      <c r="C30" s="72">
        <f>(D31+D34+D40+D46)/(E81+E62)</f>
        <v>0.68987731216957793</v>
      </c>
      <c r="D30" s="71"/>
      <c r="E30" s="89"/>
      <c r="F30" s="91"/>
      <c r="G30" s="17"/>
      <c r="H30" s="79">
        <v>43836</v>
      </c>
      <c r="I30" s="76" t="s">
        <v>101</v>
      </c>
      <c r="J30" s="76" t="s">
        <v>82</v>
      </c>
      <c r="K30" s="77">
        <v>24.56</v>
      </c>
      <c r="L30" s="17"/>
      <c r="M30" s="17"/>
      <c r="N30" s="17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</row>
    <row r="31" spans="1:26" x14ac:dyDescent="0.2">
      <c r="A31" s="17"/>
      <c r="B31" s="45" t="s">
        <v>37</v>
      </c>
      <c r="C31" s="3"/>
      <c r="D31" s="92">
        <f>SUM(E32:E33)</f>
        <v>340</v>
      </c>
      <c r="E31" s="3"/>
      <c r="F31" s="87">
        <f>SUM(F32:F33)</f>
        <v>350</v>
      </c>
      <c r="G31" s="17"/>
      <c r="H31" s="79">
        <v>43837</v>
      </c>
      <c r="I31" s="76" t="s">
        <v>106</v>
      </c>
      <c r="J31" s="76" t="s">
        <v>40</v>
      </c>
      <c r="K31" s="77">
        <v>10</v>
      </c>
      <c r="L31" s="17"/>
      <c r="M31" s="17"/>
      <c r="N31" s="17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</row>
    <row r="32" spans="1:26" x14ac:dyDescent="0.2">
      <c r="A32" s="17"/>
      <c r="B32" s="46" t="s">
        <v>62</v>
      </c>
      <c r="C32" s="3"/>
      <c r="D32" s="3"/>
      <c r="E32" s="3">
        <f>SUMIF(Table449142[Category],"Rent",Table449142[Amount])</f>
        <v>300</v>
      </c>
      <c r="F32" s="84">
        <v>300</v>
      </c>
      <c r="G32" s="17"/>
      <c r="H32" s="79">
        <v>43837</v>
      </c>
      <c r="I32" s="76" t="s">
        <v>107</v>
      </c>
      <c r="J32" s="76" t="s">
        <v>66</v>
      </c>
      <c r="K32" s="77">
        <v>4</v>
      </c>
      <c r="L32" s="17"/>
      <c r="M32" s="17"/>
      <c r="N32" s="17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</row>
    <row r="33" spans="1:26" x14ac:dyDescent="0.2">
      <c r="A33" s="17"/>
      <c r="B33" s="46" t="s">
        <v>38</v>
      </c>
      <c r="C33" s="3"/>
      <c r="D33" s="3"/>
      <c r="E33" s="3">
        <f>SUMIF(Table449142[Category],"Utilities",Table449142[Amount])</f>
        <v>40</v>
      </c>
      <c r="F33" s="84">
        <v>50</v>
      </c>
      <c r="G33" s="17"/>
      <c r="H33" s="79">
        <v>43839</v>
      </c>
      <c r="I33" s="76" t="s">
        <v>108</v>
      </c>
      <c r="J33" s="76" t="s">
        <v>72</v>
      </c>
      <c r="K33" s="77">
        <v>4.99</v>
      </c>
      <c r="L33" s="17"/>
      <c r="M33" s="17"/>
      <c r="N33" s="17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</row>
    <row r="34" spans="1:26" x14ac:dyDescent="0.2">
      <c r="A34" s="17"/>
      <c r="B34" s="47" t="s">
        <v>39</v>
      </c>
      <c r="C34" s="3"/>
      <c r="D34" s="92">
        <f>SUM(E35:E39)</f>
        <v>99.609999999999985</v>
      </c>
      <c r="E34" s="3"/>
      <c r="F34" s="87">
        <f>SUM(F35:F39)</f>
        <v>110</v>
      </c>
      <c r="G34" s="17"/>
      <c r="H34" s="79">
        <v>43839</v>
      </c>
      <c r="I34" s="76" t="s">
        <v>109</v>
      </c>
      <c r="J34" s="76" t="s">
        <v>72</v>
      </c>
      <c r="K34" s="77">
        <v>8.99</v>
      </c>
      <c r="L34" s="17"/>
      <c r="M34" s="17"/>
      <c r="N34" s="17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</row>
    <row r="35" spans="1:26" ht="15.75" customHeight="1" x14ac:dyDescent="0.2">
      <c r="A35" s="17"/>
      <c r="B35" s="46" t="s">
        <v>82</v>
      </c>
      <c r="C35" s="3"/>
      <c r="D35" s="3"/>
      <c r="E35" s="3">
        <f>SUMIF(Table449142[Category],"Restaurants",Table449142[Amount])</f>
        <v>24.56</v>
      </c>
      <c r="F35" s="84">
        <v>15</v>
      </c>
      <c r="G35" s="17"/>
      <c r="H35" s="79">
        <v>43840</v>
      </c>
      <c r="I35" s="76" t="s">
        <v>110</v>
      </c>
      <c r="J35" s="76" t="s">
        <v>84</v>
      </c>
      <c r="K35" s="77">
        <v>14</v>
      </c>
      <c r="L35" s="17"/>
      <c r="M35" s="17"/>
      <c r="N35" s="17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</row>
    <row r="36" spans="1:26" ht="14.25" customHeight="1" x14ac:dyDescent="0.2">
      <c r="A36" s="17"/>
      <c r="B36" s="46" t="s">
        <v>63</v>
      </c>
      <c r="C36" s="3"/>
      <c r="D36" s="3"/>
      <c r="E36" s="3">
        <f>SUMIF(Table449142[Category],"Fast Food",Table449142[Amount])</f>
        <v>8.56</v>
      </c>
      <c r="F36" s="84">
        <v>10</v>
      </c>
      <c r="G36" s="17"/>
      <c r="H36" s="79">
        <v>43844</v>
      </c>
      <c r="I36" s="76" t="s">
        <v>111</v>
      </c>
      <c r="J36" s="76" t="s">
        <v>90</v>
      </c>
      <c r="K36" s="77">
        <v>20</v>
      </c>
      <c r="L36" s="17"/>
      <c r="M36" s="17"/>
      <c r="N36" s="17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</row>
    <row r="37" spans="1:26" x14ac:dyDescent="0.2">
      <c r="A37" s="17"/>
      <c r="B37" s="46" t="s">
        <v>64</v>
      </c>
      <c r="C37" s="3"/>
      <c r="D37" s="3"/>
      <c r="E37" s="3">
        <f>SUMIF(Table449142[Category],"Groceries",Table449142[Amount])</f>
        <v>57.3</v>
      </c>
      <c r="F37" s="84">
        <v>60</v>
      </c>
      <c r="G37" s="17"/>
      <c r="H37" s="79">
        <v>43845</v>
      </c>
      <c r="I37" s="76" t="s">
        <v>112</v>
      </c>
      <c r="J37" s="76" t="s">
        <v>65</v>
      </c>
      <c r="K37" s="77">
        <v>2.6</v>
      </c>
      <c r="L37" s="17"/>
      <c r="M37" s="17"/>
      <c r="N37" s="17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</row>
    <row r="38" spans="1:26" x14ac:dyDescent="0.2">
      <c r="A38" s="17"/>
      <c r="B38" s="46" t="s">
        <v>65</v>
      </c>
      <c r="C38" s="3"/>
      <c r="D38" s="3"/>
      <c r="E38" s="3">
        <f>SUMIF(Table449142[Category],"Coffee",Table449142[Amount])</f>
        <v>5.1899999999999995</v>
      </c>
      <c r="F38" s="84">
        <v>15</v>
      </c>
      <c r="G38" s="17"/>
      <c r="H38" s="79">
        <v>43845</v>
      </c>
      <c r="I38" s="76" t="s">
        <v>113</v>
      </c>
      <c r="J38" s="76" t="s">
        <v>84</v>
      </c>
      <c r="K38" s="77">
        <v>10</v>
      </c>
      <c r="L38" s="17"/>
      <c r="M38" s="17"/>
      <c r="N38" s="17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</row>
    <row r="39" spans="1:26" x14ac:dyDescent="0.2">
      <c r="A39" s="17"/>
      <c r="B39" s="46" t="s">
        <v>66</v>
      </c>
      <c r="C39" s="3"/>
      <c r="D39" s="3"/>
      <c r="E39" s="3">
        <f>SUMIF(Table449142[Category],"Bars",Table449142[Amount])</f>
        <v>4</v>
      </c>
      <c r="F39" s="84">
        <v>10</v>
      </c>
      <c r="G39" s="17"/>
      <c r="H39" s="79">
        <v>43846</v>
      </c>
      <c r="I39" s="76" t="s">
        <v>114</v>
      </c>
      <c r="J39" s="76" t="s">
        <v>64</v>
      </c>
      <c r="K39" s="77">
        <v>35</v>
      </c>
      <c r="L39" s="17"/>
      <c r="M39" s="17"/>
      <c r="N39" s="37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spans="1:26" x14ac:dyDescent="0.2">
      <c r="A40" s="17"/>
      <c r="B40" s="48" t="s">
        <v>67</v>
      </c>
      <c r="C40" s="44"/>
      <c r="D40" s="93">
        <f>SUM(E41:E45)</f>
        <v>34.760000000000005</v>
      </c>
      <c r="E40" s="3"/>
      <c r="F40" s="88">
        <f>SUM(F41:F45)</f>
        <v>115</v>
      </c>
      <c r="G40" s="17"/>
      <c r="H40" s="79">
        <v>43846</v>
      </c>
      <c r="I40" s="76" t="s">
        <v>115</v>
      </c>
      <c r="J40" s="76" t="s">
        <v>74</v>
      </c>
      <c r="K40" s="77">
        <v>14.99</v>
      </c>
      <c r="L40" s="17"/>
      <c r="M40" s="17"/>
      <c r="N40" s="17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spans="1:26" x14ac:dyDescent="0.2">
      <c r="A41" s="1"/>
      <c r="B41" s="46" t="s">
        <v>42</v>
      </c>
      <c r="C41" s="3"/>
      <c r="D41" s="3"/>
      <c r="E41" s="3">
        <f>SUMIF(Table449142[Category],"Gas",Table449142[Amount])</f>
        <v>24.76</v>
      </c>
      <c r="F41" s="84">
        <v>35</v>
      </c>
      <c r="G41" s="17"/>
      <c r="H41" s="79">
        <v>43849</v>
      </c>
      <c r="I41" s="76" t="s">
        <v>116</v>
      </c>
      <c r="J41" s="75" t="s">
        <v>43</v>
      </c>
      <c r="K41" s="77">
        <v>60</v>
      </c>
      <c r="L41" s="17"/>
      <c r="M41" s="17"/>
      <c r="N41" s="17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</row>
    <row r="42" spans="1:26" x14ac:dyDescent="0.2">
      <c r="A42" s="1"/>
      <c r="B42" s="46" t="s">
        <v>68</v>
      </c>
      <c r="C42" s="42"/>
      <c r="D42" s="42"/>
      <c r="E42" s="3">
        <f>SUMIF(Table449142[Category],"Insurance",Table449142[Amount])</f>
        <v>0</v>
      </c>
      <c r="F42" s="84">
        <v>60</v>
      </c>
      <c r="G42" s="17"/>
      <c r="H42" s="79">
        <v>43850</v>
      </c>
      <c r="I42" s="75" t="s">
        <v>117</v>
      </c>
      <c r="J42" s="76" t="s">
        <v>75</v>
      </c>
      <c r="K42" s="77">
        <v>40</v>
      </c>
      <c r="L42" s="17"/>
      <c r="M42" s="17"/>
      <c r="N42" s="17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</row>
    <row r="43" spans="1:26" x14ac:dyDescent="0.2">
      <c r="A43" s="18"/>
      <c r="B43" s="46" t="s">
        <v>83</v>
      </c>
      <c r="C43" s="42"/>
      <c r="D43" s="42"/>
      <c r="E43" s="3">
        <f>SUMIF(Table449142[Category],"Maintenance",Table449142[Amount])</f>
        <v>0</v>
      </c>
      <c r="F43" s="84">
        <v>10</v>
      </c>
      <c r="G43" s="17"/>
      <c r="H43" s="79">
        <v>43850</v>
      </c>
      <c r="I43" s="76" t="s">
        <v>118</v>
      </c>
      <c r="J43" s="76" t="s">
        <v>53</v>
      </c>
      <c r="K43" s="77">
        <v>20</v>
      </c>
      <c r="L43" s="17"/>
      <c r="M43" s="17"/>
      <c r="N43" s="17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</row>
    <row r="44" spans="1:26" x14ac:dyDescent="0.2">
      <c r="A44" s="43"/>
      <c r="B44" s="46" t="s">
        <v>69</v>
      </c>
      <c r="C44" s="42"/>
      <c r="D44" s="42"/>
      <c r="E44" s="3">
        <f>SUMIF(Table449142[Category],"Parking",Table449142[Amount])</f>
        <v>0</v>
      </c>
      <c r="F44" s="84">
        <v>5</v>
      </c>
      <c r="G44" s="17"/>
      <c r="H44" s="79">
        <v>43853</v>
      </c>
      <c r="I44" s="76" t="s">
        <v>119</v>
      </c>
      <c r="J44" s="76" t="s">
        <v>71</v>
      </c>
      <c r="K44" s="77">
        <v>75</v>
      </c>
      <c r="L44" s="17"/>
      <c r="M44" s="17"/>
      <c r="N44" s="17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</row>
    <row r="45" spans="1:26" x14ac:dyDescent="0.2">
      <c r="A45" s="17"/>
      <c r="B45" s="46" t="s">
        <v>40</v>
      </c>
      <c r="C45" s="42"/>
      <c r="D45" s="42"/>
      <c r="E45" s="3">
        <f>SUMIF(Table449142[Category],"Uber",Table449142[Amount])</f>
        <v>10</v>
      </c>
      <c r="F45" s="84">
        <v>5</v>
      </c>
      <c r="G45" s="17"/>
      <c r="H45" s="20">
        <v>43855</v>
      </c>
      <c r="I45" s="8" t="s">
        <v>88</v>
      </c>
      <c r="J45" s="8" t="s">
        <v>88</v>
      </c>
      <c r="K45" s="11">
        <v>20</v>
      </c>
      <c r="L45" s="17"/>
      <c r="M45" s="17"/>
      <c r="N45" s="17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</row>
    <row r="46" spans="1:26" x14ac:dyDescent="0.2">
      <c r="A46" s="1"/>
      <c r="B46" s="45" t="s">
        <v>70</v>
      </c>
      <c r="C46" s="42"/>
      <c r="D46" s="94">
        <f>SUM(E47:E48)</f>
        <v>75</v>
      </c>
      <c r="E46" s="3"/>
      <c r="F46" s="87">
        <f>SUM(F47:F48)</f>
        <v>0</v>
      </c>
      <c r="G46" s="17"/>
      <c r="H46" s="20"/>
      <c r="I46" s="8"/>
      <c r="J46" s="8"/>
      <c r="K46" s="11"/>
      <c r="L46" s="17"/>
      <c r="M46" s="17"/>
      <c r="N46" s="17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</row>
    <row r="47" spans="1:26" x14ac:dyDescent="0.2">
      <c r="A47" s="1"/>
      <c r="B47" s="46" t="s">
        <v>44</v>
      </c>
      <c r="C47" s="42"/>
      <c r="D47" s="42"/>
      <c r="E47" s="3">
        <f>SUMIF(Table449142[Category],"Tuition",Table449142[Amount])</f>
        <v>0</v>
      </c>
      <c r="F47" s="84">
        <v>0</v>
      </c>
      <c r="G47" s="17"/>
      <c r="H47" s="20"/>
      <c r="I47" s="8"/>
      <c r="J47" s="8"/>
      <c r="K47" s="11"/>
      <c r="L47" s="17"/>
      <c r="M47" s="17"/>
      <c r="N47" s="17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</row>
    <row r="48" spans="1:26" x14ac:dyDescent="0.2">
      <c r="A48" s="1"/>
      <c r="B48" s="46" t="s">
        <v>71</v>
      </c>
      <c r="C48" s="42"/>
      <c r="D48" s="42"/>
      <c r="E48" s="3">
        <f>SUMIF(Table449142[Category],"Books",Table449142[Amount])</f>
        <v>75</v>
      </c>
      <c r="F48" s="84"/>
      <c r="G48" s="17"/>
      <c r="H48" s="20"/>
      <c r="I48" s="8"/>
      <c r="J48" s="8"/>
      <c r="K48" s="11"/>
      <c r="L48" s="17"/>
      <c r="M48" s="17"/>
      <c r="N48" s="17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</row>
    <row r="49" spans="1:26" x14ac:dyDescent="0.2">
      <c r="A49" s="1"/>
      <c r="B49" s="46"/>
      <c r="C49" s="42"/>
      <c r="D49" s="42"/>
      <c r="E49" s="3"/>
      <c r="F49" s="84"/>
      <c r="G49" s="17"/>
      <c r="H49" s="20"/>
      <c r="I49" s="8"/>
      <c r="J49" s="8"/>
      <c r="K49" s="11"/>
      <c r="L49" s="17"/>
      <c r="M49" s="17"/>
      <c r="N49" s="17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</row>
    <row r="50" spans="1:26" x14ac:dyDescent="0.2">
      <c r="A50" s="1"/>
      <c r="B50" s="46"/>
      <c r="C50" s="42"/>
      <c r="D50" s="42"/>
      <c r="E50" s="3"/>
      <c r="F50" s="84"/>
      <c r="G50" s="17"/>
      <c r="H50" s="20"/>
      <c r="I50" s="8"/>
      <c r="J50" s="8"/>
      <c r="K50" s="11"/>
      <c r="L50" s="17"/>
      <c r="M50" s="17"/>
      <c r="N50" s="17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</row>
    <row r="51" spans="1:26" x14ac:dyDescent="0.2">
      <c r="A51" s="1"/>
      <c r="B51" s="50" t="s">
        <v>121</v>
      </c>
      <c r="C51" s="73">
        <f>(D52+D55+D60)/(E81+E62)</f>
        <v>0.13431617545489935</v>
      </c>
      <c r="D51" s="42"/>
      <c r="E51" s="3"/>
      <c r="F51" s="84"/>
      <c r="G51" s="17"/>
      <c r="H51" s="20"/>
      <c r="I51" s="8"/>
      <c r="J51" s="8"/>
      <c r="K51" s="11"/>
      <c r="L51" s="17"/>
      <c r="M51" s="17"/>
      <c r="N51" s="17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</row>
    <row r="52" spans="1:26" x14ac:dyDescent="0.2">
      <c r="A52" s="1"/>
      <c r="B52" s="45" t="s">
        <v>41</v>
      </c>
      <c r="C52" s="42"/>
      <c r="D52" s="94">
        <f>SUM(E53:E54)</f>
        <v>37.980000000000004</v>
      </c>
      <c r="E52" s="3"/>
      <c r="F52" s="87">
        <f>SUM(F53:F54)</f>
        <v>30</v>
      </c>
      <c r="G52" s="17"/>
      <c r="H52" s="20"/>
      <c r="I52" s="8"/>
      <c r="J52" s="8"/>
      <c r="K52" s="11"/>
      <c r="L52" s="17"/>
      <c r="M52" s="17"/>
      <c r="N52" s="17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</row>
    <row r="53" spans="1:26" x14ac:dyDescent="0.2">
      <c r="A53" s="1"/>
      <c r="B53" s="46" t="s">
        <v>72</v>
      </c>
      <c r="C53" s="42"/>
      <c r="D53" s="42"/>
      <c r="E53" s="3">
        <f>SUMIF(Table449142[Category],"Subscription",Table449142[Amount])</f>
        <v>13.98</v>
      </c>
      <c r="F53" s="84">
        <v>15</v>
      </c>
      <c r="G53" s="17"/>
      <c r="H53" s="20"/>
      <c r="I53" s="8"/>
      <c r="J53" s="8"/>
      <c r="K53" s="11"/>
      <c r="L53" s="17"/>
      <c r="M53" s="86"/>
      <c r="N53" s="17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</row>
    <row r="54" spans="1:26" x14ac:dyDescent="0.2">
      <c r="A54" s="1"/>
      <c r="B54" s="46" t="s">
        <v>84</v>
      </c>
      <c r="C54" s="42"/>
      <c r="D54" s="42"/>
      <c r="E54" s="3">
        <f>SUMIF(Table449142[Category],"Events",Table449142[Amount])</f>
        <v>24</v>
      </c>
      <c r="F54" s="84">
        <v>15</v>
      </c>
      <c r="G54" s="17"/>
      <c r="H54" s="20"/>
      <c r="I54" s="8"/>
      <c r="J54" s="8"/>
      <c r="K54" s="11"/>
      <c r="L54" s="17"/>
      <c r="M54" s="17"/>
      <c r="N54" s="17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</row>
    <row r="55" spans="1:26" x14ac:dyDescent="0.2">
      <c r="A55" s="1"/>
      <c r="B55" s="45" t="s">
        <v>73</v>
      </c>
      <c r="C55" s="42"/>
      <c r="D55" s="94">
        <f>SUM(E56:E59)</f>
        <v>68.98</v>
      </c>
      <c r="E55" s="3"/>
      <c r="F55" s="87">
        <f>SUM(F56:F59)</f>
        <v>40</v>
      </c>
      <c r="G55" s="17"/>
      <c r="H55" s="20"/>
      <c r="I55" s="8"/>
      <c r="J55" s="8"/>
      <c r="K55" s="11"/>
      <c r="L55" s="17"/>
      <c r="M55" s="17"/>
      <c r="N55" s="17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</row>
    <row r="56" spans="1:26" x14ac:dyDescent="0.2">
      <c r="A56" s="1"/>
      <c r="B56" s="46" t="s">
        <v>74</v>
      </c>
      <c r="C56" s="42"/>
      <c r="D56" s="42"/>
      <c r="E56" s="3">
        <f>SUMIF(Table449142[Category],"Clothes",Table449142[Amount])</f>
        <v>14.99</v>
      </c>
      <c r="F56" s="84">
        <v>20</v>
      </c>
      <c r="G56" s="17"/>
      <c r="H56" s="20"/>
      <c r="I56" s="8"/>
      <c r="J56" s="8"/>
      <c r="K56" s="11"/>
      <c r="L56" s="17"/>
      <c r="M56" s="17"/>
      <c r="N56" s="17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</row>
    <row r="57" spans="1:26" ht="17" thickBot="1" x14ac:dyDescent="0.25">
      <c r="A57" s="1"/>
      <c r="B57" s="46" t="s">
        <v>75</v>
      </c>
      <c r="C57" s="42"/>
      <c r="D57" s="42"/>
      <c r="E57" s="3">
        <f>SUMIF(Table449142[Category],"Accessories",Table449142[Amount])</f>
        <v>40</v>
      </c>
      <c r="F57" s="84">
        <v>10</v>
      </c>
      <c r="G57" s="17"/>
      <c r="H57" s="12" t="s">
        <v>162</v>
      </c>
      <c r="I57" s="9"/>
      <c r="J57" s="9"/>
      <c r="K57" s="10">
        <f>SUM(K22:K56)</f>
        <v>796.33</v>
      </c>
      <c r="L57" s="17"/>
      <c r="M57" s="17"/>
      <c r="N57" s="17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</row>
    <row r="58" spans="1:26" x14ac:dyDescent="0.2">
      <c r="A58" s="1"/>
      <c r="B58" s="46" t="s">
        <v>76</v>
      </c>
      <c r="C58" s="42"/>
      <c r="D58" s="42"/>
      <c r="E58" s="3">
        <f>SUMIF(Table449142[Category],"Gifts",Table449142[Amount])</f>
        <v>13.99</v>
      </c>
      <c r="F58" s="84">
        <v>5</v>
      </c>
      <c r="G58" s="17"/>
      <c r="H58" s="17"/>
      <c r="I58" s="17"/>
      <c r="J58" s="17"/>
      <c r="K58" s="17"/>
      <c r="L58" s="17"/>
      <c r="M58" s="17"/>
      <c r="N58" s="17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</row>
    <row r="59" spans="1:26" ht="16" thickBot="1" x14ac:dyDescent="0.25">
      <c r="A59" s="17"/>
      <c r="B59" s="46" t="s">
        <v>81</v>
      </c>
      <c r="C59" s="42"/>
      <c r="D59" s="42"/>
      <c r="E59" s="3">
        <f>SUMIF(Table449142[Category],"Cosmetics",Table449142[Amount])</f>
        <v>0</v>
      </c>
      <c r="F59" s="84">
        <v>5</v>
      </c>
      <c r="G59" s="17"/>
      <c r="H59" s="17"/>
      <c r="I59" s="17"/>
      <c r="J59" s="17"/>
      <c r="K59" s="17"/>
      <c r="L59" s="17"/>
      <c r="M59" s="17"/>
      <c r="N59" s="17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</row>
    <row r="60" spans="1:26" x14ac:dyDescent="0.2">
      <c r="A60" s="17"/>
      <c r="B60" s="45" t="s">
        <v>77</v>
      </c>
      <c r="C60" s="42"/>
      <c r="D60" s="94">
        <f>SUMIF(Table449142[Category],"Hobbies",Table449142[Amount])</f>
        <v>0</v>
      </c>
      <c r="E60" s="3"/>
      <c r="F60" s="87">
        <v>15</v>
      </c>
      <c r="G60" s="17"/>
      <c r="H60" s="145" t="s">
        <v>103</v>
      </c>
      <c r="I60" s="146"/>
      <c r="J60" s="146"/>
      <c r="K60" s="147"/>
      <c r="L60" s="17"/>
      <c r="M60" s="17"/>
      <c r="N60" s="17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</row>
    <row r="61" spans="1:26" s="75" customFormat="1" x14ac:dyDescent="0.2">
      <c r="A61" s="78"/>
      <c r="B61" s="81"/>
      <c r="C61" s="80"/>
      <c r="D61" s="74"/>
      <c r="E61" s="3"/>
      <c r="F61" s="84"/>
      <c r="G61" s="78"/>
      <c r="H61" s="190" t="s">
        <v>131</v>
      </c>
      <c r="I61" s="149"/>
      <c r="J61" s="149"/>
      <c r="K61" s="150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</row>
    <row r="62" spans="1:26" s="75" customFormat="1" ht="16" thickBot="1" x14ac:dyDescent="0.25">
      <c r="A62" s="78"/>
      <c r="B62" s="83" t="s">
        <v>4</v>
      </c>
      <c r="C62" s="82"/>
      <c r="D62" s="82"/>
      <c r="E62" s="90">
        <f>SUM(D31,D34,D40,D46,D52,D55,D60)</f>
        <v>656.33</v>
      </c>
      <c r="F62" s="85">
        <f>SUM(F31,F34,F40,F46,F52,F55,F60)</f>
        <v>660</v>
      </c>
      <c r="G62" s="78"/>
      <c r="H62" s="190"/>
      <c r="I62" s="149"/>
      <c r="J62" s="149"/>
      <c r="K62" s="150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</row>
    <row r="63" spans="1:26" x14ac:dyDescent="0.2">
      <c r="A63" s="17"/>
      <c r="B63" s="100"/>
      <c r="C63" s="101"/>
      <c r="D63" s="101"/>
      <c r="E63" s="102"/>
      <c r="F63" s="69"/>
      <c r="G63" s="17"/>
      <c r="H63" s="144"/>
      <c r="I63" s="149"/>
      <c r="J63" s="149"/>
      <c r="K63" s="150"/>
      <c r="L63" s="17"/>
      <c r="M63" s="17"/>
      <c r="N63" s="17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</row>
    <row r="64" spans="1:26" x14ac:dyDescent="0.2">
      <c r="A64" s="17"/>
      <c r="B64" s="103" t="s">
        <v>85</v>
      </c>
      <c r="C64" s="104">
        <f>(D65)/(E81+E62)</f>
        <v>7.5345648160938306E-2</v>
      </c>
      <c r="D64" s="101"/>
      <c r="E64" s="102"/>
      <c r="F64" s="69"/>
      <c r="G64" s="17"/>
      <c r="H64" s="144"/>
      <c r="I64" s="149"/>
      <c r="J64" s="149"/>
      <c r="K64" s="150"/>
      <c r="L64" s="17"/>
      <c r="M64" s="17"/>
      <c r="N64" s="17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</row>
    <row r="65" spans="1:26" x14ac:dyDescent="0.2">
      <c r="A65" s="17"/>
      <c r="B65" s="105" t="s">
        <v>94</v>
      </c>
      <c r="C65" s="101"/>
      <c r="D65" s="106">
        <f>SUM(E66:E68)</f>
        <v>60</v>
      </c>
      <c r="E65" s="102"/>
      <c r="F65" s="87">
        <f>SUM(F66:F68)</f>
        <v>60</v>
      </c>
      <c r="G65" s="17"/>
      <c r="H65" s="144"/>
      <c r="I65" s="149"/>
      <c r="J65" s="149"/>
      <c r="K65" s="150"/>
      <c r="L65" s="17"/>
      <c r="M65" s="17"/>
      <c r="N65" s="17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</row>
    <row r="66" spans="1:26" x14ac:dyDescent="0.2">
      <c r="A66" s="17"/>
      <c r="B66" s="107" t="s">
        <v>88</v>
      </c>
      <c r="C66" s="101"/>
      <c r="D66" s="101"/>
      <c r="E66" s="102">
        <f>SUMIF(Table449142[Category],"Emergency Fund",Table449142[Amount])</f>
        <v>20</v>
      </c>
      <c r="F66" s="69">
        <v>20</v>
      </c>
      <c r="G66" s="17"/>
      <c r="H66" s="144"/>
      <c r="I66" s="149"/>
      <c r="J66" s="149"/>
      <c r="K66" s="150"/>
      <c r="L66" s="17"/>
      <c r="M66" s="17"/>
      <c r="N66" s="17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</row>
    <row r="67" spans="1:26" x14ac:dyDescent="0.2">
      <c r="A67" s="17"/>
      <c r="B67" s="107" t="s">
        <v>55</v>
      </c>
      <c r="C67" s="101"/>
      <c r="D67" s="101"/>
      <c r="E67" s="102">
        <f>SUMIF(Table449142[Category],"Retirement",Table449142[Amount])</f>
        <v>20</v>
      </c>
      <c r="F67" s="69">
        <v>20</v>
      </c>
      <c r="G67" s="17"/>
      <c r="H67" s="144"/>
      <c r="I67" s="149"/>
      <c r="J67" s="149"/>
      <c r="K67" s="150"/>
      <c r="L67" s="17"/>
      <c r="M67" s="17"/>
      <c r="N67" s="17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</row>
    <row r="68" spans="1:26" ht="14.25" customHeight="1" x14ac:dyDescent="0.2">
      <c r="A68" s="17"/>
      <c r="B68" s="107" t="s">
        <v>53</v>
      </c>
      <c r="C68" s="101"/>
      <c r="D68" s="101"/>
      <c r="E68" s="102">
        <f>SUMIF(Table449142[Category],"Investment",Table449142[Amount])</f>
        <v>20</v>
      </c>
      <c r="F68" s="69">
        <v>20</v>
      </c>
      <c r="G68" s="17"/>
      <c r="H68" s="144"/>
      <c r="I68" s="149"/>
      <c r="J68" s="149"/>
      <c r="K68" s="150"/>
      <c r="L68" s="17"/>
      <c r="M68" s="17"/>
      <c r="N68" s="17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</row>
    <row r="69" spans="1:26" x14ac:dyDescent="0.2">
      <c r="A69" s="17"/>
      <c r="B69" s="100"/>
      <c r="C69" s="101"/>
      <c r="D69" s="101"/>
      <c r="E69" s="102"/>
      <c r="F69" s="69"/>
      <c r="G69" s="17"/>
      <c r="H69" s="144"/>
      <c r="I69" s="149"/>
      <c r="J69" s="149"/>
      <c r="K69" s="150"/>
      <c r="L69" s="17"/>
      <c r="M69" s="17"/>
      <c r="N69" s="17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</row>
    <row r="70" spans="1:26" x14ac:dyDescent="0.2">
      <c r="A70" s="17"/>
      <c r="B70" s="103" t="s">
        <v>86</v>
      </c>
      <c r="C70" s="104">
        <f>D71/(E81+E62)</f>
        <v>0.1004608642145844</v>
      </c>
      <c r="D70" s="101"/>
      <c r="E70" s="102"/>
      <c r="F70" s="69"/>
      <c r="G70" s="17"/>
      <c r="H70" s="144"/>
      <c r="I70" s="149"/>
      <c r="J70" s="149"/>
      <c r="K70" s="150"/>
      <c r="L70" s="17"/>
      <c r="M70" s="17"/>
      <c r="N70" s="17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</row>
    <row r="71" spans="1:26" x14ac:dyDescent="0.2">
      <c r="A71" s="52"/>
      <c r="B71" s="105" t="s">
        <v>95</v>
      </c>
      <c r="C71" s="108"/>
      <c r="D71" s="106">
        <f>SUM(E72:E73)</f>
        <v>80</v>
      </c>
      <c r="E71" s="109"/>
      <c r="F71" s="87">
        <f>SUM(F72:F73)</f>
        <v>80</v>
      </c>
      <c r="G71" s="17"/>
      <c r="H71" s="144"/>
      <c r="I71" s="149"/>
      <c r="J71" s="149"/>
      <c r="K71" s="150"/>
      <c r="L71" s="17"/>
      <c r="M71" s="17"/>
      <c r="N71" s="17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</row>
    <row r="72" spans="1:26" x14ac:dyDescent="0.2">
      <c r="A72" s="17"/>
      <c r="B72" s="110" t="s">
        <v>43</v>
      </c>
      <c r="C72" s="101"/>
      <c r="D72" s="101"/>
      <c r="E72" s="102">
        <f>SUMIF(Table449142[Category],"Donations",Table449142[Amount])</f>
        <v>60</v>
      </c>
      <c r="F72" s="69">
        <v>0</v>
      </c>
      <c r="G72" s="17"/>
      <c r="H72" s="144"/>
      <c r="I72" s="149"/>
      <c r="J72" s="149"/>
      <c r="K72" s="150"/>
      <c r="L72" s="17"/>
      <c r="M72" s="17"/>
      <c r="N72" s="17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</row>
    <row r="73" spans="1:26" x14ac:dyDescent="0.2">
      <c r="A73" s="17"/>
      <c r="B73" s="110" t="s">
        <v>90</v>
      </c>
      <c r="C73" s="101"/>
      <c r="D73" s="101"/>
      <c r="E73" s="102">
        <f>SUMIF(Table449142[Category],"Offering",Table449142[Amount])</f>
        <v>20</v>
      </c>
      <c r="F73" s="69">
        <v>80</v>
      </c>
      <c r="G73" s="17"/>
      <c r="H73" s="144"/>
      <c r="I73" s="149"/>
      <c r="J73" s="149"/>
      <c r="K73" s="150"/>
      <c r="L73" s="17"/>
      <c r="M73" s="17"/>
      <c r="N73" s="17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</row>
    <row r="74" spans="1:26" x14ac:dyDescent="0.2">
      <c r="A74" s="17"/>
      <c r="B74" s="110"/>
      <c r="C74" s="101"/>
      <c r="D74" s="101"/>
      <c r="E74" s="102"/>
      <c r="F74" s="69"/>
      <c r="G74" s="17"/>
      <c r="H74" s="144"/>
      <c r="I74" s="149"/>
      <c r="J74" s="149"/>
      <c r="K74" s="150"/>
      <c r="L74" s="17"/>
      <c r="M74" s="17"/>
      <c r="N74" s="17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</row>
    <row r="75" spans="1:26" x14ac:dyDescent="0.2">
      <c r="A75" s="17"/>
      <c r="B75" s="111" t="s">
        <v>89</v>
      </c>
      <c r="C75" s="104">
        <f>D76/(E81+E62)</f>
        <v>0</v>
      </c>
      <c r="D75" s="101"/>
      <c r="E75" s="102"/>
      <c r="F75" s="69"/>
      <c r="G75" s="17"/>
      <c r="H75" s="144"/>
      <c r="I75" s="149"/>
      <c r="J75" s="149"/>
      <c r="K75" s="150"/>
      <c r="L75" s="17"/>
      <c r="M75" s="17"/>
      <c r="N75" s="17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</row>
    <row r="76" spans="1:26" x14ac:dyDescent="0.2">
      <c r="A76" s="17"/>
      <c r="B76" s="112" t="s">
        <v>104</v>
      </c>
      <c r="C76" s="101"/>
      <c r="D76" s="106">
        <f>SUM(E77:E79)</f>
        <v>0</v>
      </c>
      <c r="E76" s="102"/>
      <c r="F76" s="87">
        <f>SUM(F77:F79)</f>
        <v>0</v>
      </c>
      <c r="G76" s="17"/>
      <c r="H76" s="144"/>
      <c r="I76" s="149"/>
      <c r="J76" s="149"/>
      <c r="K76" s="150"/>
      <c r="L76" s="17"/>
      <c r="M76" s="17"/>
      <c r="N76" s="17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</row>
    <row r="77" spans="1:26" x14ac:dyDescent="0.2">
      <c r="A77" s="17"/>
      <c r="B77" s="110" t="s">
        <v>92</v>
      </c>
      <c r="C77" s="101"/>
      <c r="D77" s="101"/>
      <c r="E77" s="102">
        <f>SUMIF(Table449142[Category],"Student Loan",Table449142[Amount])</f>
        <v>0</v>
      </c>
      <c r="F77" s="69">
        <v>0</v>
      </c>
      <c r="G77" s="17"/>
      <c r="H77" s="144"/>
      <c r="I77" s="149"/>
      <c r="J77" s="149"/>
      <c r="K77" s="150"/>
      <c r="L77" s="17"/>
      <c r="M77" s="17"/>
      <c r="N77" s="17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</row>
    <row r="78" spans="1:26" x14ac:dyDescent="0.2">
      <c r="A78" s="17"/>
      <c r="B78" s="107" t="s">
        <v>91</v>
      </c>
      <c r="C78" s="101"/>
      <c r="D78" s="101"/>
      <c r="E78" s="102">
        <f>SUMIF(Table449142[Category],"Credit Card",Table449142[Amount])</f>
        <v>0</v>
      </c>
      <c r="F78" s="69">
        <v>0</v>
      </c>
      <c r="G78" s="17"/>
      <c r="H78" s="144"/>
      <c r="I78" s="149"/>
      <c r="J78" s="149"/>
      <c r="K78" s="150"/>
      <c r="L78" s="17"/>
      <c r="M78" s="17"/>
      <c r="N78" s="17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</row>
    <row r="79" spans="1:26" x14ac:dyDescent="0.2">
      <c r="A79" s="17"/>
      <c r="B79" s="110" t="s">
        <v>93</v>
      </c>
      <c r="C79" s="101"/>
      <c r="D79" s="101"/>
      <c r="E79" s="102">
        <f>SUMIF(Table449142[Category],"Car",Table449142[Amount])</f>
        <v>0</v>
      </c>
      <c r="F79" s="69">
        <v>0</v>
      </c>
      <c r="G79" s="1"/>
      <c r="H79" s="144"/>
      <c r="I79" s="149"/>
      <c r="J79" s="149"/>
      <c r="K79" s="150"/>
      <c r="L79" s="17"/>
      <c r="M79" s="17"/>
      <c r="N79" s="17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</row>
    <row r="80" spans="1:26" s="54" customFormat="1" x14ac:dyDescent="0.2">
      <c r="A80" s="17"/>
      <c r="B80" s="111"/>
      <c r="C80" s="101"/>
      <c r="D80" s="101"/>
      <c r="E80" s="102"/>
      <c r="F80" s="69"/>
      <c r="G80" s="53"/>
      <c r="H80" s="148"/>
      <c r="I80" s="151"/>
      <c r="J80" s="151"/>
      <c r="K80" s="1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spans="1:26" ht="16" thickBot="1" x14ac:dyDescent="0.25">
      <c r="A81" s="17"/>
      <c r="B81" s="113" t="s">
        <v>35</v>
      </c>
      <c r="C81" s="114"/>
      <c r="D81" s="114"/>
      <c r="E81" s="115">
        <f>SUM(D65,D76,D71)</f>
        <v>140</v>
      </c>
      <c r="F81" s="70">
        <f>SUM(F65,F71,F76)</f>
        <v>140</v>
      </c>
      <c r="G81" s="1"/>
      <c r="H81" s="153"/>
      <c r="I81" s="154"/>
      <c r="J81" s="154"/>
      <c r="K81" s="155"/>
      <c r="L81" s="17"/>
      <c r="M81" s="17"/>
      <c r="N81" s="17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</row>
    <row r="82" spans="1:26" x14ac:dyDescent="0.2">
      <c r="A82" s="17"/>
      <c r="B82" s="17"/>
      <c r="C82" s="17"/>
      <c r="D82" s="17"/>
      <c r="E82" s="17"/>
      <c r="F82" s="17"/>
      <c r="G82" s="1"/>
      <c r="H82" s="1"/>
      <c r="I82" s="1"/>
      <c r="J82" s="1"/>
      <c r="K82" s="1"/>
      <c r="L82" s="17"/>
      <c r="M82" s="17"/>
      <c r="N82" s="17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</row>
    <row r="83" spans="1:26" ht="16" thickBot="1" x14ac:dyDescent="0.25">
      <c r="A83" s="17"/>
      <c r="B83" s="17"/>
      <c r="C83" s="17"/>
      <c r="D83" s="17"/>
      <c r="E83" s="17"/>
      <c r="F83" s="17"/>
      <c r="G83" s="1"/>
      <c r="H83" s="1"/>
      <c r="I83" s="1"/>
      <c r="J83" s="1"/>
      <c r="K83" s="1"/>
      <c r="L83" s="17"/>
      <c r="M83" s="17"/>
      <c r="N83" s="17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</row>
    <row r="84" spans="1:26" x14ac:dyDescent="0.2">
      <c r="A84" s="17"/>
      <c r="B84" s="195" t="str">
        <f>B30</f>
        <v>LIVING EXPENSES</v>
      </c>
      <c r="C84" s="196">
        <f>C30</f>
        <v>0.68987731216957793</v>
      </c>
      <c r="D84" s="17"/>
      <c r="E84" s="17"/>
      <c r="F84" s="17"/>
      <c r="G84" s="17"/>
      <c r="H84" s="1"/>
      <c r="I84" s="1"/>
      <c r="J84" s="1"/>
      <c r="K84" s="1"/>
      <c r="L84" s="17"/>
      <c r="M84" s="17"/>
      <c r="N84" s="17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</row>
    <row r="85" spans="1:26" x14ac:dyDescent="0.2">
      <c r="A85" s="17"/>
      <c r="B85" s="144" t="str">
        <f>B51</f>
        <v>INDULGENCE EXPENSES</v>
      </c>
      <c r="C85" s="197">
        <f>C51</f>
        <v>0.13431617545489935</v>
      </c>
      <c r="D85" s="17"/>
      <c r="E85" s="17"/>
      <c r="F85" s="17"/>
      <c r="G85" s="17"/>
      <c r="H85" s="1"/>
      <c r="I85" s="1"/>
      <c r="J85" s="1"/>
      <c r="K85" s="1"/>
      <c r="L85" s="17"/>
      <c r="M85" s="17"/>
      <c r="N85" s="17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</row>
    <row r="86" spans="1:26" x14ac:dyDescent="0.2">
      <c r="A86" s="17"/>
      <c r="B86" s="144" t="str">
        <f>B64</f>
        <v>SAVINGS</v>
      </c>
      <c r="C86" s="197">
        <f>C64</f>
        <v>7.5345648160938306E-2</v>
      </c>
      <c r="D86" s="17"/>
      <c r="E86" s="17"/>
      <c r="F86" s="17"/>
      <c r="G86" s="17"/>
      <c r="H86" s="1"/>
      <c r="I86" s="1"/>
      <c r="J86" s="1"/>
      <c r="K86" s="1"/>
      <c r="L86" s="17"/>
      <c r="M86" s="17"/>
      <c r="N86" s="17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</row>
    <row r="87" spans="1:26" x14ac:dyDescent="0.2">
      <c r="A87" s="17"/>
      <c r="B87" s="144" t="str">
        <f>B70</f>
        <v>TITHINGS</v>
      </c>
      <c r="C87" s="197">
        <f>C70</f>
        <v>0.1004608642145844</v>
      </c>
      <c r="D87" s="17"/>
      <c r="E87" s="17"/>
      <c r="F87" s="17"/>
      <c r="G87" s="17"/>
      <c r="H87" s="1"/>
      <c r="I87" s="1"/>
      <c r="J87" s="1"/>
      <c r="K87" s="1"/>
      <c r="L87" s="17"/>
      <c r="M87" s="17"/>
      <c r="N87" s="17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</row>
    <row r="88" spans="1:26" ht="16" thickBot="1" x14ac:dyDescent="0.25">
      <c r="A88" s="17"/>
      <c r="B88" s="153" t="str">
        <f>B75</f>
        <v>DEBT REPAYMENT</v>
      </c>
      <c r="C88" s="198">
        <f>C75</f>
        <v>0</v>
      </c>
      <c r="D88" s="17"/>
      <c r="E88" s="17"/>
      <c r="F88" s="17"/>
      <c r="G88" s="17"/>
      <c r="H88" s="1"/>
      <c r="I88" s="1"/>
      <c r="J88" s="1"/>
      <c r="K88" s="1"/>
      <c r="L88" s="17"/>
      <c r="M88" s="17"/>
      <c r="N88" s="17"/>
      <c r="O88" s="17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</row>
    <row r="89" spans="1:26" x14ac:dyDescent="0.2">
      <c r="A89" s="17"/>
      <c r="B89" s="17"/>
      <c r="C89" s="17"/>
      <c r="D89" s="17"/>
      <c r="E89" s="17"/>
      <c r="F89" s="17"/>
      <c r="G89" s="17"/>
      <c r="H89" s="1"/>
      <c r="I89" s="1"/>
      <c r="J89" s="1"/>
      <c r="K89" s="1"/>
      <c r="L89" s="17"/>
      <c r="M89" s="17"/>
      <c r="N89" s="17"/>
      <c r="O89" s="17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</row>
    <row r="90" spans="1:26" x14ac:dyDescent="0.2">
      <c r="A90" s="17"/>
      <c r="B90" s="17"/>
      <c r="C90" s="17"/>
      <c r="D90" s="17"/>
      <c r="E90" s="17"/>
      <c r="F90" s="17"/>
      <c r="G90" s="17"/>
      <c r="H90" s="1"/>
      <c r="I90" s="1"/>
      <c r="J90" s="1"/>
      <c r="K90" s="1"/>
      <c r="L90" s="17"/>
      <c r="M90" s="17"/>
      <c r="N90" s="17"/>
      <c r="O90" s="17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</row>
    <row r="91" spans="1:26" x14ac:dyDescent="0.2">
      <c r="A91" s="17"/>
      <c r="B91" s="17"/>
      <c r="C91" s="17"/>
      <c r="D91" s="17"/>
      <c r="E91" s="17"/>
      <c r="F91" s="17"/>
      <c r="G91" s="17"/>
      <c r="H91" s="1"/>
      <c r="I91" s="1"/>
      <c r="J91" s="1"/>
      <c r="K91" s="1"/>
      <c r="L91" s="17"/>
      <c r="M91" s="17"/>
      <c r="N91" s="17"/>
      <c r="O91" s="17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</row>
    <row r="92" spans="1:26" x14ac:dyDescent="0.2">
      <c r="A92" s="17"/>
      <c r="B92" s="17"/>
      <c r="C92" s="17"/>
      <c r="D92" s="17"/>
      <c r="E92" s="17"/>
      <c r="F92" s="17"/>
      <c r="G92" s="17"/>
      <c r="H92" s="1"/>
      <c r="I92" s="1"/>
      <c r="J92" s="1"/>
      <c r="K92" s="1"/>
      <c r="L92" s="17"/>
      <c r="M92" s="17"/>
      <c r="N92" s="17"/>
      <c r="O92" s="17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</row>
    <row r="93" spans="1:26" x14ac:dyDescent="0.2">
      <c r="A93" s="17"/>
      <c r="B93" s="17"/>
      <c r="C93" s="17"/>
      <c r="D93" s="17"/>
      <c r="E93" s="17"/>
      <c r="F93" s="17"/>
      <c r="G93" s="17"/>
      <c r="H93" s="1"/>
      <c r="I93" s="1"/>
      <c r="J93" s="1"/>
      <c r="K93" s="1"/>
      <c r="L93" s="17"/>
      <c r="M93" s="17"/>
      <c r="N93" s="17"/>
      <c r="O93" s="17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</row>
    <row r="94" spans="1:26" x14ac:dyDescent="0.2">
      <c r="A94" s="17"/>
      <c r="B94" s="17"/>
      <c r="C94" s="17"/>
      <c r="D94" s="17"/>
      <c r="E94" s="17"/>
      <c r="F94" s="17"/>
      <c r="G94" s="17"/>
      <c r="H94" s="1"/>
      <c r="I94" s="1"/>
      <c r="J94" s="1"/>
      <c r="K94" s="1"/>
      <c r="L94" s="17"/>
      <c r="M94" s="17"/>
      <c r="N94" s="17"/>
      <c r="O94" s="17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</row>
    <row r="95" spans="1:26" x14ac:dyDescent="0.2">
      <c r="A95" s="17"/>
      <c r="B95" s="17"/>
      <c r="C95" s="17"/>
      <c r="D95" s="17"/>
      <c r="E95" s="17"/>
      <c r="F95" s="17"/>
      <c r="G95" s="17"/>
      <c r="H95" s="1"/>
      <c r="I95" s="1"/>
      <c r="J95" s="1"/>
      <c r="K95" s="1"/>
      <c r="L95" s="17"/>
      <c r="M95" s="17"/>
      <c r="N95" s="17"/>
      <c r="O95" s="17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</row>
    <row r="96" spans="1:26" x14ac:dyDescent="0.2">
      <c r="A96" s="17"/>
      <c r="B96" s="17"/>
      <c r="C96" s="17"/>
      <c r="D96" s="17"/>
      <c r="E96" s="17"/>
      <c r="F96" s="17"/>
      <c r="G96" s="1"/>
      <c r="H96" s="1"/>
      <c r="I96" s="1"/>
      <c r="J96" s="1"/>
      <c r="K96" s="1"/>
      <c r="L96" s="17"/>
      <c r="M96" s="17"/>
      <c r="N96" s="17"/>
      <c r="O96" s="17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</row>
    <row r="97" spans="1:26" x14ac:dyDescent="0.2">
      <c r="A97" s="17"/>
      <c r="B97" s="17"/>
      <c r="C97" s="17"/>
      <c r="D97" s="17"/>
      <c r="E97" s="17"/>
      <c r="F97" s="17"/>
      <c r="G97" s="1"/>
      <c r="H97" s="1"/>
      <c r="I97" s="1"/>
      <c r="J97" s="1"/>
      <c r="K97" s="1"/>
      <c r="L97" s="17"/>
      <c r="M97" s="17"/>
      <c r="N97" s="17"/>
      <c r="O97" s="17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</row>
    <row r="98" spans="1:26" x14ac:dyDescent="0.2">
      <c r="A98" s="17"/>
      <c r="B98" s="17"/>
      <c r="C98" s="17"/>
      <c r="D98" s="17"/>
      <c r="E98" s="17"/>
      <c r="F98" s="17"/>
      <c r="G98" s="1"/>
      <c r="H98" s="1"/>
      <c r="I98" s="1"/>
      <c r="J98" s="1"/>
      <c r="K98" s="1"/>
      <c r="L98" s="17"/>
      <c r="M98" s="17"/>
      <c r="N98" s="17"/>
      <c r="O98" s="17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</row>
    <row r="99" spans="1:26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</row>
    <row r="100" spans="1:26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</row>
    <row r="101" spans="1:26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</row>
    <row r="102" spans="1:26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</row>
    <row r="103" spans="1:26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</row>
    <row r="104" spans="1:26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</row>
    <row r="105" spans="1:26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</row>
    <row r="106" spans="1:26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</row>
    <row r="107" spans="1:26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</row>
    <row r="108" spans="1:26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</row>
  </sheetData>
  <sheetProtection pivotTables="0"/>
  <mergeCells count="11">
    <mergeCell ref="B2:I2"/>
    <mergeCell ref="B15:F15"/>
    <mergeCell ref="B6:C6"/>
    <mergeCell ref="D6:F6"/>
    <mergeCell ref="H20:K20"/>
    <mergeCell ref="D7:E7"/>
    <mergeCell ref="D12:E12"/>
    <mergeCell ref="D13:E13"/>
    <mergeCell ref="D8:E8"/>
    <mergeCell ref="D10:E10"/>
    <mergeCell ref="D9:E9"/>
  </mergeCells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49039-C645-4E36-9C55-30C0F2EDE83C}">
  <dimension ref="A1:Z108"/>
  <sheetViews>
    <sheetView tabSelected="1" workbookViewId="0">
      <selection activeCell="K26" sqref="K26"/>
    </sheetView>
  </sheetViews>
  <sheetFormatPr baseColWidth="10" defaultColWidth="9.1640625" defaultRowHeight="15" x14ac:dyDescent="0.2"/>
  <cols>
    <col min="1" max="1" width="10.6640625" style="75" customWidth="1"/>
    <col min="2" max="2" width="21.1640625" style="75" customWidth="1"/>
    <col min="3" max="6" width="10.6640625" style="75" customWidth="1"/>
    <col min="7" max="7" width="11" style="75" customWidth="1"/>
    <col min="8" max="8" width="12.6640625" style="75" customWidth="1"/>
    <col min="9" max="9" width="31.5" style="75" customWidth="1"/>
    <col min="10" max="10" width="15.6640625" style="75" customWidth="1"/>
    <col min="11" max="11" width="11.6640625" style="75" customWidth="1"/>
    <col min="12" max="13" width="9.1640625" style="75"/>
    <col min="14" max="19" width="10.6640625" style="75" customWidth="1"/>
    <col min="20" max="16384" width="9.1640625" style="75"/>
  </cols>
  <sheetData>
    <row r="1" spans="1:26" ht="16" thickBo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ht="20" thickBot="1" x14ac:dyDescent="0.3">
      <c r="A2" s="78"/>
      <c r="B2" s="214" t="s">
        <v>122</v>
      </c>
      <c r="C2" s="215"/>
      <c r="D2" s="215"/>
      <c r="E2" s="215"/>
      <c r="F2" s="215"/>
      <c r="G2" s="215"/>
      <c r="H2" s="215"/>
      <c r="I2" s="216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26" x14ac:dyDescent="0.2">
      <c r="A3" s="78"/>
      <c r="B3" s="140" t="s">
        <v>59</v>
      </c>
      <c r="C3" s="141" t="s">
        <v>20</v>
      </c>
      <c r="D3" s="141" t="s">
        <v>52</v>
      </c>
      <c r="E3" s="141" t="s">
        <v>12</v>
      </c>
      <c r="F3" s="142" t="s">
        <v>54</v>
      </c>
      <c r="G3" s="142" t="s">
        <v>14</v>
      </c>
      <c r="H3" s="142" t="s">
        <v>60</v>
      </c>
      <c r="I3" s="143" t="s">
        <v>55</v>
      </c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26" ht="16" thickBot="1" x14ac:dyDescent="0.25">
      <c r="A4" s="78"/>
      <c r="B4" s="95">
        <v>0</v>
      </c>
      <c r="C4" s="96">
        <v>0</v>
      </c>
      <c r="D4" s="96">
        <v>0</v>
      </c>
      <c r="E4" s="96">
        <v>0</v>
      </c>
      <c r="F4" s="97">
        <v>0</v>
      </c>
      <c r="G4" s="98">
        <v>0</v>
      </c>
      <c r="H4" s="98">
        <v>0</v>
      </c>
      <c r="I4" s="99">
        <v>0</v>
      </c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26" ht="16" thickBot="1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spans="1:26" ht="19" x14ac:dyDescent="0.25">
      <c r="A6" s="78"/>
      <c r="B6" s="217" t="s">
        <v>11</v>
      </c>
      <c r="C6" s="218"/>
      <c r="D6" s="219" t="s">
        <v>13</v>
      </c>
      <c r="E6" s="220"/>
      <c r="F6" s="221"/>
      <c r="G6" s="78"/>
      <c r="H6" s="1"/>
      <c r="I6" s="1"/>
      <c r="J6" s="1"/>
      <c r="K6" s="1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pans="1:26" x14ac:dyDescent="0.2">
      <c r="A7" s="78"/>
      <c r="B7" s="117" t="s">
        <v>2</v>
      </c>
      <c r="C7" s="118">
        <v>0</v>
      </c>
      <c r="D7" s="222" t="str">
        <f t="shared" ref="D7:D13" si="0">B7</f>
        <v>Income</v>
      </c>
      <c r="E7" s="223"/>
      <c r="F7" s="119">
        <f>F27</f>
        <v>0</v>
      </c>
      <c r="G7" s="78"/>
      <c r="H7" s="1"/>
      <c r="I7" s="1"/>
      <c r="J7" s="1"/>
      <c r="K7" s="1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</row>
    <row r="8" spans="1:26" x14ac:dyDescent="0.2">
      <c r="A8" s="78"/>
      <c r="B8" s="120" t="s">
        <v>12</v>
      </c>
      <c r="C8" s="121">
        <f>SUM(F66:F68)</f>
        <v>0</v>
      </c>
      <c r="D8" s="228" t="str">
        <f t="shared" si="0"/>
        <v>Savings</v>
      </c>
      <c r="E8" s="229"/>
      <c r="F8" s="122">
        <f>D65</f>
        <v>0</v>
      </c>
      <c r="G8" s="78"/>
      <c r="H8" s="1"/>
      <c r="I8" s="1"/>
      <c r="J8" s="1"/>
      <c r="K8" s="1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</row>
    <row r="9" spans="1:26" x14ac:dyDescent="0.2">
      <c r="A9" s="78"/>
      <c r="B9" s="123" t="s">
        <v>120</v>
      </c>
      <c r="C9" s="124">
        <f>SUM(F72:F73)</f>
        <v>0</v>
      </c>
      <c r="D9" s="232" t="str">
        <f t="shared" si="0"/>
        <v>Tithing</v>
      </c>
      <c r="E9" s="232"/>
      <c r="F9" s="125">
        <f>D71</f>
        <v>0</v>
      </c>
      <c r="G9" s="78"/>
      <c r="H9" s="1"/>
      <c r="I9" s="1"/>
      <c r="J9" s="1"/>
      <c r="K9" s="1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</row>
    <row r="10" spans="1:26" x14ac:dyDescent="0.2">
      <c r="A10" s="78"/>
      <c r="B10" s="126" t="s">
        <v>14</v>
      </c>
      <c r="C10" s="127">
        <f>SUM(F77:F79)</f>
        <v>0</v>
      </c>
      <c r="D10" s="230" t="str">
        <f t="shared" si="0"/>
        <v>Debt</v>
      </c>
      <c r="E10" s="231"/>
      <c r="F10" s="128">
        <f>D76</f>
        <v>0</v>
      </c>
      <c r="G10" s="78"/>
      <c r="H10" s="1"/>
      <c r="I10" s="1"/>
      <c r="J10" s="1"/>
      <c r="K10" s="1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</row>
    <row r="11" spans="1:26" x14ac:dyDescent="0.2">
      <c r="A11" s="78"/>
      <c r="B11" s="129" t="s">
        <v>124</v>
      </c>
      <c r="C11" s="130">
        <f>C7-C8-C9-C10</f>
        <v>0</v>
      </c>
      <c r="D11" s="131" t="str">
        <f t="shared" si="0"/>
        <v>Budgeted</v>
      </c>
      <c r="E11" s="132"/>
      <c r="F11" s="133">
        <f>F7-F8-F9-F10</f>
        <v>0</v>
      </c>
      <c r="G11" s="78"/>
      <c r="H11" s="1"/>
      <c r="I11" s="1"/>
      <c r="J11" s="1"/>
      <c r="K11" s="1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</row>
    <row r="12" spans="1:26" x14ac:dyDescent="0.2">
      <c r="A12" s="78"/>
      <c r="B12" s="134" t="s">
        <v>0</v>
      </c>
      <c r="C12" s="135">
        <f>F62</f>
        <v>0</v>
      </c>
      <c r="D12" s="224" t="str">
        <f t="shared" si="0"/>
        <v>Expenses</v>
      </c>
      <c r="E12" s="225"/>
      <c r="F12" s="136">
        <f>E62</f>
        <v>0</v>
      </c>
      <c r="G12" s="78"/>
      <c r="H12" s="1"/>
      <c r="I12" s="1"/>
      <c r="J12" s="1"/>
      <c r="K12" s="1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</row>
    <row r="13" spans="1:26" ht="16" thickBot="1" x14ac:dyDescent="0.25">
      <c r="A13" s="78"/>
      <c r="B13" s="137" t="s">
        <v>123</v>
      </c>
      <c r="C13" s="138">
        <f>C11-C12</f>
        <v>0</v>
      </c>
      <c r="D13" s="226" t="str">
        <f t="shared" si="0"/>
        <v>Remaining</v>
      </c>
      <c r="E13" s="227"/>
      <c r="F13" s="139">
        <f>F11-F12</f>
        <v>0</v>
      </c>
      <c r="G13" s="78"/>
      <c r="H13" s="1"/>
      <c r="I13" s="1"/>
      <c r="J13" s="1"/>
      <c r="K13" s="1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</row>
    <row r="14" spans="1:26" ht="16" thickBot="1" x14ac:dyDescent="0.25">
      <c r="A14" s="78"/>
      <c r="B14" s="78"/>
      <c r="C14" s="78"/>
      <c r="D14" s="78"/>
      <c r="E14" s="78"/>
      <c r="F14" s="78"/>
      <c r="G14" s="78"/>
      <c r="H14" s="1"/>
      <c r="I14" s="1"/>
      <c r="J14" s="1"/>
      <c r="K14" s="1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</row>
    <row r="15" spans="1:26" ht="20" thickBot="1" x14ac:dyDescent="0.3">
      <c r="A15" s="78"/>
      <c r="B15" s="214" t="s">
        <v>9</v>
      </c>
      <c r="C15" s="215"/>
      <c r="D15" s="215"/>
      <c r="E15" s="215"/>
      <c r="F15" s="216"/>
      <c r="G15" s="78"/>
      <c r="H15" s="1"/>
      <c r="I15" s="1"/>
      <c r="J15" s="1"/>
      <c r="K15" s="1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</row>
    <row r="16" spans="1:26" ht="17" thickBot="1" x14ac:dyDescent="0.25">
      <c r="A16" s="78"/>
      <c r="B16" s="63" t="s">
        <v>2</v>
      </c>
      <c r="C16" s="64"/>
      <c r="D16" s="65"/>
      <c r="E16" s="65"/>
      <c r="F16" s="66"/>
      <c r="G16" s="78"/>
      <c r="H16" s="1"/>
      <c r="I16" s="1"/>
      <c r="J16" s="1"/>
      <c r="K16" s="1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</row>
    <row r="17" spans="1:26" x14ac:dyDescent="0.2">
      <c r="A17" s="78"/>
      <c r="B17" s="4"/>
      <c r="C17" s="2"/>
      <c r="D17" s="2"/>
      <c r="E17" s="2"/>
      <c r="F17" s="62"/>
      <c r="G17" s="78"/>
      <c r="H17" s="1"/>
      <c r="I17" s="1"/>
      <c r="J17" s="1"/>
      <c r="K17" s="1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</row>
    <row r="18" spans="1:26" x14ac:dyDescent="0.2">
      <c r="A18" s="78"/>
      <c r="B18" s="4"/>
      <c r="C18" s="2"/>
      <c r="D18" s="2"/>
      <c r="E18" s="2"/>
      <c r="F18" s="55"/>
      <c r="G18" s="78"/>
      <c r="H18" s="1"/>
      <c r="I18" s="1"/>
      <c r="J18" s="1"/>
      <c r="K18" s="1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</row>
    <row r="19" spans="1:26" ht="16" thickBot="1" x14ac:dyDescent="0.25">
      <c r="A19" s="78"/>
      <c r="B19" s="4"/>
      <c r="C19" s="2"/>
      <c r="D19" s="2"/>
      <c r="E19" s="2"/>
      <c r="F19" s="55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</row>
    <row r="20" spans="1:26" ht="20" thickBot="1" x14ac:dyDescent="0.3">
      <c r="A20" s="78"/>
      <c r="B20" s="4"/>
      <c r="C20" s="2"/>
      <c r="D20" s="2"/>
      <c r="E20" s="2"/>
      <c r="F20" s="55"/>
      <c r="G20" s="78"/>
      <c r="H20" s="214" t="s">
        <v>10</v>
      </c>
      <c r="I20" s="215"/>
      <c r="J20" s="215"/>
      <c r="K20" s="216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</row>
    <row r="21" spans="1:26" x14ac:dyDescent="0.2">
      <c r="A21" s="78"/>
      <c r="B21" s="4"/>
      <c r="C21" s="2"/>
      <c r="D21" s="2"/>
      <c r="E21" s="2"/>
      <c r="F21" s="55"/>
      <c r="G21" s="78"/>
      <c r="H21" s="76" t="s">
        <v>5</v>
      </c>
      <c r="I21" s="76" t="s">
        <v>7</v>
      </c>
      <c r="J21" s="76" t="s">
        <v>8</v>
      </c>
      <c r="K21" s="77" t="s">
        <v>6</v>
      </c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</row>
    <row r="22" spans="1:26" x14ac:dyDescent="0.2">
      <c r="A22" s="78"/>
      <c r="B22" s="4"/>
      <c r="C22" s="2"/>
      <c r="D22" s="2"/>
      <c r="E22" s="2"/>
      <c r="F22" s="55"/>
      <c r="G22" s="78"/>
      <c r="H22" s="79"/>
      <c r="I22" s="76"/>
      <c r="J22" s="76"/>
      <c r="K22" s="77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</row>
    <row r="23" spans="1:26" x14ac:dyDescent="0.2">
      <c r="A23" s="78"/>
      <c r="B23" s="4"/>
      <c r="C23" s="2"/>
      <c r="D23" s="2"/>
      <c r="E23" s="2"/>
      <c r="F23" s="55"/>
      <c r="G23" s="78"/>
      <c r="H23" s="79"/>
      <c r="I23" s="76"/>
      <c r="J23" s="76"/>
      <c r="K23" s="77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</row>
    <row r="24" spans="1:26" x14ac:dyDescent="0.2">
      <c r="A24" s="78"/>
      <c r="B24" s="4"/>
      <c r="C24" s="2"/>
      <c r="D24" s="2"/>
      <c r="E24" s="2"/>
      <c r="F24" s="55"/>
      <c r="G24" s="78"/>
      <c r="H24" s="79"/>
      <c r="I24" s="76"/>
      <c r="J24" s="76"/>
      <c r="K24" s="77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</row>
    <row r="25" spans="1:26" x14ac:dyDescent="0.2">
      <c r="A25" s="78"/>
      <c r="B25" s="4"/>
      <c r="C25" s="2"/>
      <c r="D25" s="2"/>
      <c r="E25" s="2"/>
      <c r="F25" s="55"/>
      <c r="G25" s="78"/>
      <c r="H25" s="79"/>
      <c r="I25" s="76"/>
      <c r="J25" s="76"/>
      <c r="K25" s="77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</row>
    <row r="26" spans="1:26" x14ac:dyDescent="0.2">
      <c r="A26" s="78"/>
      <c r="B26" s="5"/>
      <c r="C26" s="2"/>
      <c r="D26" s="2"/>
      <c r="E26" s="2"/>
      <c r="F26" s="56"/>
      <c r="G26" s="78"/>
      <c r="H26" s="79"/>
      <c r="I26" s="76"/>
      <c r="J26" s="76"/>
      <c r="K26" s="77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</row>
    <row r="27" spans="1:26" s="41" customFormat="1" ht="16" thickBot="1" x14ac:dyDescent="0.25">
      <c r="A27" s="78"/>
      <c r="B27" s="6" t="s">
        <v>3</v>
      </c>
      <c r="C27" s="7"/>
      <c r="D27" s="58"/>
      <c r="E27" s="58"/>
      <c r="F27" s="57">
        <f>SUM(F17:F26)</f>
        <v>0</v>
      </c>
      <c r="G27" s="78"/>
      <c r="H27" s="79"/>
      <c r="I27" s="76"/>
      <c r="J27" s="76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</row>
    <row r="28" spans="1:26" ht="16" thickBot="1" x14ac:dyDescent="0.25">
      <c r="A28" s="78"/>
      <c r="B28" s="59"/>
      <c r="C28" s="60"/>
      <c r="D28" s="60"/>
      <c r="E28" s="60"/>
      <c r="F28" s="61"/>
      <c r="G28" s="78"/>
      <c r="H28" s="79"/>
      <c r="I28" s="76"/>
      <c r="J28" s="76"/>
      <c r="K28" s="77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</row>
    <row r="29" spans="1:26" ht="17" thickBot="1" x14ac:dyDescent="0.25">
      <c r="A29" s="78"/>
      <c r="B29" s="51" t="s">
        <v>0</v>
      </c>
      <c r="C29" s="49"/>
      <c r="D29" s="49"/>
      <c r="E29" s="49"/>
      <c r="F29" s="68" t="s">
        <v>1</v>
      </c>
      <c r="G29" s="78"/>
      <c r="H29" s="79"/>
      <c r="I29" s="76"/>
      <c r="J29" s="76"/>
      <c r="K29" s="77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</row>
    <row r="30" spans="1:26" x14ac:dyDescent="0.2">
      <c r="A30" s="78"/>
      <c r="B30" s="67" t="s">
        <v>87</v>
      </c>
      <c r="C30" s="72" t="e">
        <f>(D31+D34+D40+D46)/(E81+E62)</f>
        <v>#DIV/0!</v>
      </c>
      <c r="D30" s="71"/>
      <c r="E30" s="89"/>
      <c r="F30" s="91"/>
      <c r="G30" s="78"/>
      <c r="H30" s="79"/>
      <c r="I30" s="76"/>
      <c r="J30" s="76"/>
      <c r="K30" s="77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</row>
    <row r="31" spans="1:26" x14ac:dyDescent="0.2">
      <c r="A31" s="78"/>
      <c r="B31" s="81" t="s">
        <v>37</v>
      </c>
      <c r="C31" s="3"/>
      <c r="D31" s="92">
        <f>SUM(E32:E33)</f>
        <v>0</v>
      </c>
      <c r="E31" s="3"/>
      <c r="F31" s="87">
        <f>SUM(F32:F33)</f>
        <v>0</v>
      </c>
      <c r="G31" s="78"/>
      <c r="H31" s="79"/>
      <c r="I31" s="76"/>
      <c r="J31" s="76"/>
      <c r="K31" s="77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</row>
    <row r="32" spans="1:26" x14ac:dyDescent="0.2">
      <c r="A32" s="78"/>
      <c r="B32" s="46" t="s">
        <v>62</v>
      </c>
      <c r="C32" s="3"/>
      <c r="D32" s="3"/>
      <c r="E32" s="3">
        <f>SUMIF(Table4491423[Category],"Rent",Table4491423[Amount])</f>
        <v>0</v>
      </c>
      <c r="F32" s="84"/>
      <c r="G32" s="78"/>
      <c r="H32" s="79"/>
      <c r="I32" s="76"/>
      <c r="J32" s="76"/>
      <c r="K32" s="77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</row>
    <row r="33" spans="1:26" x14ac:dyDescent="0.2">
      <c r="A33" s="78"/>
      <c r="B33" s="46" t="s">
        <v>38</v>
      </c>
      <c r="C33" s="3"/>
      <c r="D33" s="3"/>
      <c r="E33" s="3">
        <f>SUMIF(Table4491423[Category],"Utilities",Table4491423[Amount])</f>
        <v>0</v>
      </c>
      <c r="F33" s="84"/>
      <c r="G33" s="78"/>
      <c r="H33" s="79"/>
      <c r="I33" s="76"/>
      <c r="J33" s="76"/>
      <c r="K33" s="77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</row>
    <row r="34" spans="1:26" x14ac:dyDescent="0.2">
      <c r="A34" s="78"/>
      <c r="B34" s="47" t="s">
        <v>39</v>
      </c>
      <c r="C34" s="3"/>
      <c r="D34" s="92">
        <f>SUM(E35:E39)</f>
        <v>0</v>
      </c>
      <c r="E34" s="3"/>
      <c r="F34" s="87">
        <f>SUM(F35:F39)</f>
        <v>0</v>
      </c>
      <c r="G34" s="78"/>
      <c r="H34" s="79"/>
      <c r="I34" s="76"/>
      <c r="J34" s="76"/>
      <c r="K34" s="77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</row>
    <row r="35" spans="1:26" ht="15.75" customHeight="1" x14ac:dyDescent="0.2">
      <c r="A35" s="78"/>
      <c r="B35" s="46" t="s">
        <v>82</v>
      </c>
      <c r="C35" s="3"/>
      <c r="D35" s="3"/>
      <c r="E35" s="3">
        <f>SUMIF(Table4491423[Category],"Restaurants",Table4491423[Amount])</f>
        <v>0</v>
      </c>
      <c r="F35" s="84"/>
      <c r="G35" s="78"/>
      <c r="H35" s="79"/>
      <c r="I35" s="76"/>
      <c r="J35" s="76"/>
      <c r="K35" s="77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</row>
    <row r="36" spans="1:26" ht="14.25" customHeight="1" x14ac:dyDescent="0.2">
      <c r="A36" s="78"/>
      <c r="B36" s="46" t="s">
        <v>63</v>
      </c>
      <c r="C36" s="3"/>
      <c r="D36" s="3"/>
      <c r="E36" s="3">
        <f>SUMIF(Table4491423[Category],"Fast Food",Table4491423[Amount])</f>
        <v>0</v>
      </c>
      <c r="F36" s="84"/>
      <c r="G36" s="78"/>
      <c r="H36" s="79"/>
      <c r="I36" s="76"/>
      <c r="J36" s="76"/>
      <c r="K36" s="77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</row>
    <row r="37" spans="1:26" x14ac:dyDescent="0.2">
      <c r="A37" s="78"/>
      <c r="B37" s="46" t="s">
        <v>64</v>
      </c>
      <c r="C37" s="3"/>
      <c r="D37" s="3"/>
      <c r="E37" s="3">
        <f>SUMIF(Table4491423[Category],"Groceries",Table4491423[Amount])</f>
        <v>0</v>
      </c>
      <c r="F37" s="84"/>
      <c r="G37" s="78"/>
      <c r="H37" s="79"/>
      <c r="I37" s="76"/>
      <c r="J37" s="76"/>
      <c r="K37" s="77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</row>
    <row r="38" spans="1:26" x14ac:dyDescent="0.2">
      <c r="A38" s="78"/>
      <c r="B38" s="46" t="s">
        <v>65</v>
      </c>
      <c r="C38" s="3"/>
      <c r="D38" s="3"/>
      <c r="E38" s="3">
        <f>SUMIF(Table4491423[Category],"Coffee",Table4491423[Amount])</f>
        <v>0</v>
      </c>
      <c r="F38" s="84"/>
      <c r="G38" s="78"/>
      <c r="H38" s="79"/>
      <c r="I38" s="76"/>
      <c r="J38" s="76"/>
      <c r="K38" s="77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</row>
    <row r="39" spans="1:26" x14ac:dyDescent="0.2">
      <c r="A39" s="78"/>
      <c r="B39" s="46" t="s">
        <v>66</v>
      </c>
      <c r="C39" s="3"/>
      <c r="D39" s="3"/>
      <c r="E39" s="3">
        <f>SUMIF(Table4491423[Category],"Bars",Table4491423[Amount])</f>
        <v>0</v>
      </c>
      <c r="F39" s="84"/>
      <c r="G39" s="78"/>
      <c r="H39" s="79"/>
      <c r="I39" s="76"/>
      <c r="J39" s="76"/>
      <c r="K39" s="77"/>
      <c r="L39" s="78"/>
      <c r="M39" s="78"/>
      <c r="N39" s="37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spans="1:26" x14ac:dyDescent="0.2">
      <c r="A40" s="78"/>
      <c r="B40" s="48" t="s">
        <v>67</v>
      </c>
      <c r="C40" s="44"/>
      <c r="D40" s="93">
        <f>SUM(E41:E45)</f>
        <v>0</v>
      </c>
      <c r="E40" s="3"/>
      <c r="F40" s="88">
        <f>SUM(F41:F45)</f>
        <v>0</v>
      </c>
      <c r="G40" s="78"/>
      <c r="H40" s="79"/>
      <c r="I40" s="76"/>
      <c r="J40" s="76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spans="1:26" x14ac:dyDescent="0.2">
      <c r="A41" s="1"/>
      <c r="B41" s="46" t="s">
        <v>42</v>
      </c>
      <c r="C41" s="3"/>
      <c r="D41" s="3"/>
      <c r="E41" s="3">
        <f>SUMIF(Table4491423[Category],"Gas",Table4491423[Amount])</f>
        <v>0</v>
      </c>
      <c r="F41" s="84"/>
      <c r="G41" s="78"/>
      <c r="H41" s="79"/>
      <c r="I41" s="76"/>
      <c r="K41" s="77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</row>
    <row r="42" spans="1:26" x14ac:dyDescent="0.2">
      <c r="A42" s="1"/>
      <c r="B42" s="46" t="s">
        <v>68</v>
      </c>
      <c r="C42" s="116"/>
      <c r="D42" s="116"/>
      <c r="E42" s="3">
        <f>SUMIF(Table4491423[Category],"Insurance",Table4491423[Amount])</f>
        <v>0</v>
      </c>
      <c r="F42" s="84"/>
      <c r="G42" s="78"/>
      <c r="H42" s="79"/>
      <c r="J42" s="76"/>
      <c r="K42" s="77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</row>
    <row r="43" spans="1:26" x14ac:dyDescent="0.2">
      <c r="A43" s="18"/>
      <c r="B43" s="46" t="s">
        <v>83</v>
      </c>
      <c r="C43" s="116"/>
      <c r="D43" s="116"/>
      <c r="E43" s="3">
        <f>SUMIF(Table4491423[Category],"Maintenance",Table4491423[Amount])</f>
        <v>0</v>
      </c>
      <c r="F43" s="84"/>
      <c r="G43" s="78"/>
      <c r="H43" s="79"/>
      <c r="I43" s="76"/>
      <c r="J43" s="76"/>
      <c r="K43" s="77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</row>
    <row r="44" spans="1:26" x14ac:dyDescent="0.2">
      <c r="A44" s="43"/>
      <c r="B44" s="46" t="s">
        <v>69</v>
      </c>
      <c r="C44" s="116"/>
      <c r="D44" s="116"/>
      <c r="E44" s="3">
        <f>SUMIF(Table4491423[Category],"Parking",Table4491423[Amount])</f>
        <v>0</v>
      </c>
      <c r="F44" s="84"/>
      <c r="G44" s="78"/>
      <c r="H44" s="79"/>
      <c r="I44" s="76"/>
      <c r="J44" s="76"/>
      <c r="K44" s="77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</row>
    <row r="45" spans="1:26" x14ac:dyDescent="0.2">
      <c r="A45" s="78"/>
      <c r="B45" s="46" t="s">
        <v>40</v>
      </c>
      <c r="C45" s="116"/>
      <c r="D45" s="116"/>
      <c r="E45" s="3">
        <f>SUMIF(Table4491423[Category],"Uber",Table4491423[Amount])</f>
        <v>0</v>
      </c>
      <c r="F45" s="84"/>
      <c r="G45" s="78"/>
      <c r="H45" s="79"/>
      <c r="I45" s="76"/>
      <c r="J45" s="76"/>
      <c r="K45" s="77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</row>
    <row r="46" spans="1:26" x14ac:dyDescent="0.2">
      <c r="A46" s="1"/>
      <c r="B46" s="81" t="s">
        <v>70</v>
      </c>
      <c r="C46" s="116"/>
      <c r="D46" s="94">
        <f>SUM(E47:E48)</f>
        <v>0</v>
      </c>
      <c r="E46" s="3"/>
      <c r="F46" s="87">
        <f>SUM(F47:F48)</f>
        <v>0</v>
      </c>
      <c r="G46" s="78"/>
      <c r="H46" s="79"/>
      <c r="I46" s="76"/>
      <c r="J46" s="76"/>
      <c r="K46" s="77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</row>
    <row r="47" spans="1:26" x14ac:dyDescent="0.2">
      <c r="A47" s="1"/>
      <c r="B47" s="46" t="s">
        <v>44</v>
      </c>
      <c r="C47" s="116"/>
      <c r="D47" s="116"/>
      <c r="E47" s="3">
        <f>SUMIF(Table4491423[Category],"Tuition",Table4491423[Amount])</f>
        <v>0</v>
      </c>
      <c r="F47" s="84"/>
      <c r="G47" s="78"/>
      <c r="H47" s="79"/>
      <c r="I47" s="76"/>
      <c r="J47" s="76"/>
      <c r="K47" s="77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</row>
    <row r="48" spans="1:26" x14ac:dyDescent="0.2">
      <c r="A48" s="1"/>
      <c r="B48" s="46" t="s">
        <v>71</v>
      </c>
      <c r="C48" s="116"/>
      <c r="D48" s="116"/>
      <c r="E48" s="3">
        <f>SUMIF(Table4491423[Category],"Books",Table4491423[Amount])</f>
        <v>0</v>
      </c>
      <c r="F48" s="84"/>
      <c r="G48" s="78"/>
      <c r="H48" s="79"/>
      <c r="I48" s="76"/>
      <c r="J48" s="76"/>
      <c r="K48" s="77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</row>
    <row r="49" spans="1:26" x14ac:dyDescent="0.2">
      <c r="A49" s="1"/>
      <c r="B49" s="46"/>
      <c r="C49" s="116"/>
      <c r="D49" s="116"/>
      <c r="E49" s="3"/>
      <c r="F49" s="84"/>
      <c r="G49" s="78"/>
      <c r="H49" s="79"/>
      <c r="I49" s="76"/>
      <c r="J49" s="76"/>
      <c r="K49" s="77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</row>
    <row r="50" spans="1:26" x14ac:dyDescent="0.2">
      <c r="A50" s="1"/>
      <c r="B50" s="46"/>
      <c r="C50" s="116"/>
      <c r="D50" s="116"/>
      <c r="E50" s="3"/>
      <c r="F50" s="84"/>
      <c r="G50" s="78"/>
      <c r="H50" s="79"/>
      <c r="I50" s="76"/>
      <c r="J50" s="76"/>
      <c r="K50" s="77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</row>
    <row r="51" spans="1:26" x14ac:dyDescent="0.2">
      <c r="A51" s="1"/>
      <c r="B51" s="50" t="s">
        <v>121</v>
      </c>
      <c r="C51" s="73" t="e">
        <f>(D52+D55+D60)/(E81+E62)</f>
        <v>#DIV/0!</v>
      </c>
      <c r="D51" s="116"/>
      <c r="E51" s="3"/>
      <c r="F51" s="84"/>
      <c r="G51" s="78"/>
      <c r="H51" s="79"/>
      <c r="I51" s="76"/>
      <c r="J51" s="76"/>
      <c r="K51" s="77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</row>
    <row r="52" spans="1:26" x14ac:dyDescent="0.2">
      <c r="A52" s="1"/>
      <c r="B52" s="81" t="s">
        <v>41</v>
      </c>
      <c r="C52" s="116"/>
      <c r="D52" s="94">
        <f>SUM(E53:E54)</f>
        <v>0</v>
      </c>
      <c r="E52" s="3"/>
      <c r="F52" s="87">
        <f>SUM(F53:F54)</f>
        <v>0</v>
      </c>
      <c r="G52" s="78"/>
      <c r="H52" s="79"/>
      <c r="I52" s="76"/>
      <c r="J52" s="76"/>
      <c r="K52" s="77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</row>
    <row r="53" spans="1:26" x14ac:dyDescent="0.2">
      <c r="A53" s="1"/>
      <c r="B53" s="46" t="s">
        <v>72</v>
      </c>
      <c r="C53" s="116"/>
      <c r="D53" s="116"/>
      <c r="E53" s="3">
        <f>SUMIF(Table4491423[Category],"Subscription",Table4491423[Amount])</f>
        <v>0</v>
      </c>
      <c r="F53" s="84"/>
      <c r="G53" s="78"/>
      <c r="H53" s="79"/>
      <c r="I53" s="76"/>
      <c r="J53" s="76"/>
      <c r="K53" s="77"/>
      <c r="L53" s="78"/>
      <c r="M53" s="86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</row>
    <row r="54" spans="1:26" x14ac:dyDescent="0.2">
      <c r="A54" s="1"/>
      <c r="B54" s="46" t="s">
        <v>84</v>
      </c>
      <c r="C54" s="116"/>
      <c r="D54" s="116"/>
      <c r="E54" s="3">
        <f>SUMIF(Table4491423[Category],"Events",Table4491423[Amount])</f>
        <v>0</v>
      </c>
      <c r="F54" s="84"/>
      <c r="G54" s="78"/>
      <c r="H54" s="79"/>
      <c r="I54" s="76"/>
      <c r="J54" s="76"/>
      <c r="K54" s="77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</row>
    <row r="55" spans="1:26" x14ac:dyDescent="0.2">
      <c r="A55" s="1"/>
      <c r="B55" s="81" t="s">
        <v>73</v>
      </c>
      <c r="C55" s="116"/>
      <c r="D55" s="94">
        <f>SUM(E56:E59)</f>
        <v>0</v>
      </c>
      <c r="E55" s="3"/>
      <c r="F55" s="87">
        <f>SUM(F56:F59)</f>
        <v>0</v>
      </c>
      <c r="G55" s="78"/>
      <c r="H55" s="79"/>
      <c r="I55" s="76"/>
      <c r="J55" s="76"/>
      <c r="K55" s="77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</row>
    <row r="56" spans="1:26" x14ac:dyDescent="0.2">
      <c r="A56" s="1"/>
      <c r="B56" s="46" t="s">
        <v>74</v>
      </c>
      <c r="C56" s="116"/>
      <c r="D56" s="116"/>
      <c r="E56" s="3">
        <f>SUMIF(Table4491423[Category],"Clothes",Table4491423[Amount])</f>
        <v>0</v>
      </c>
      <c r="F56" s="84"/>
      <c r="G56" s="78"/>
      <c r="H56" s="79"/>
      <c r="I56" s="76"/>
      <c r="J56" s="76"/>
      <c r="K56" s="77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</row>
    <row r="57" spans="1:26" ht="17" thickBot="1" x14ac:dyDescent="0.25">
      <c r="A57" s="1"/>
      <c r="B57" s="46" t="s">
        <v>75</v>
      </c>
      <c r="C57" s="116"/>
      <c r="D57" s="116"/>
      <c r="E57" s="3">
        <f>SUMIF(Table4491423[Category],"Accessories",Table4491423[Amount])</f>
        <v>0</v>
      </c>
      <c r="F57" s="84"/>
      <c r="G57" s="78"/>
      <c r="H57" s="12" t="s">
        <v>19</v>
      </c>
      <c r="I57" s="9"/>
      <c r="J57" s="9"/>
      <c r="K57" s="10">
        <f>SUM(K22:K56)</f>
        <v>0</v>
      </c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</row>
    <row r="58" spans="1:26" x14ac:dyDescent="0.2">
      <c r="A58" s="1"/>
      <c r="B58" s="46" t="s">
        <v>76</v>
      </c>
      <c r="C58" s="116"/>
      <c r="D58" s="116"/>
      <c r="E58" s="3">
        <f>SUMIF(Table4491423[Category],"Gifts",Table4491423[Amount])</f>
        <v>0</v>
      </c>
      <c r="F58" s="84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</row>
    <row r="59" spans="1:26" ht="16" thickBot="1" x14ac:dyDescent="0.25">
      <c r="A59" s="78"/>
      <c r="B59" s="46" t="s">
        <v>81</v>
      </c>
      <c r="C59" s="116"/>
      <c r="D59" s="116"/>
      <c r="E59" s="3">
        <f>SUMIF(Table4491423[Category],"Cosmetics",Table4491423[Amount])</f>
        <v>0</v>
      </c>
      <c r="F59" s="84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</row>
    <row r="60" spans="1:26" x14ac:dyDescent="0.2">
      <c r="A60" s="78"/>
      <c r="B60" s="81" t="s">
        <v>77</v>
      </c>
      <c r="C60" s="116"/>
      <c r="D60" s="94">
        <f>SUMIF(Table4491423[Category],"Hobbies",Table4491423[Amount])</f>
        <v>0</v>
      </c>
      <c r="E60" s="3"/>
      <c r="F60" s="87">
        <v>0</v>
      </c>
      <c r="G60" s="78"/>
      <c r="H60" s="145" t="s">
        <v>103</v>
      </c>
      <c r="I60" s="146"/>
      <c r="J60" s="146"/>
      <c r="K60" s="147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</row>
    <row r="61" spans="1:26" x14ac:dyDescent="0.2">
      <c r="A61" s="78"/>
      <c r="B61" s="81"/>
      <c r="C61" s="116"/>
      <c r="D61" s="74"/>
      <c r="E61" s="3"/>
      <c r="F61" s="84"/>
      <c r="G61" s="78"/>
      <c r="H61" s="190"/>
      <c r="I61" s="149"/>
      <c r="J61" s="149"/>
      <c r="K61" s="150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</row>
    <row r="62" spans="1:26" ht="16" thickBot="1" x14ac:dyDescent="0.25">
      <c r="A62" s="78"/>
      <c r="B62" s="83" t="s">
        <v>4</v>
      </c>
      <c r="C62" s="82"/>
      <c r="D62" s="82"/>
      <c r="E62" s="90">
        <f>SUM(D31,D34,D40,D46,D52,D55,D60)</f>
        <v>0</v>
      </c>
      <c r="F62" s="85">
        <f>SUM(F31,F34,F40,F46,F52,F55,F60)</f>
        <v>0</v>
      </c>
      <c r="G62" s="78"/>
      <c r="H62" s="190"/>
      <c r="I62" s="149"/>
      <c r="J62" s="149"/>
      <c r="K62" s="150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</row>
    <row r="63" spans="1:26" x14ac:dyDescent="0.2">
      <c r="A63" s="78"/>
      <c r="B63" s="100"/>
      <c r="C63" s="101"/>
      <c r="D63" s="101"/>
      <c r="E63" s="102"/>
      <c r="F63" s="84"/>
      <c r="G63" s="78"/>
      <c r="H63" s="144"/>
      <c r="I63" s="149"/>
      <c r="J63" s="149"/>
      <c r="K63" s="150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</row>
    <row r="64" spans="1:26" x14ac:dyDescent="0.2">
      <c r="A64" s="78"/>
      <c r="B64" s="103" t="s">
        <v>85</v>
      </c>
      <c r="C64" s="104" t="e">
        <f>(D65)/(E81+E62)</f>
        <v>#DIV/0!</v>
      </c>
      <c r="D64" s="101"/>
      <c r="E64" s="102"/>
      <c r="F64" s="84"/>
      <c r="G64" s="78"/>
      <c r="H64" s="144"/>
      <c r="I64" s="149"/>
      <c r="J64" s="149"/>
      <c r="K64" s="150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</row>
    <row r="65" spans="1:26" x14ac:dyDescent="0.2">
      <c r="A65" s="78"/>
      <c r="B65" s="105" t="s">
        <v>94</v>
      </c>
      <c r="C65" s="101"/>
      <c r="D65" s="106">
        <f>SUM(E66:E68)</f>
        <v>0</v>
      </c>
      <c r="E65" s="102"/>
      <c r="F65" s="87">
        <f>SUM(F66:F68)</f>
        <v>0</v>
      </c>
      <c r="G65" s="78"/>
      <c r="H65" s="144"/>
      <c r="I65" s="149"/>
      <c r="J65" s="149"/>
      <c r="K65" s="150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</row>
    <row r="66" spans="1:26" x14ac:dyDescent="0.2">
      <c r="A66" s="78"/>
      <c r="B66" s="107" t="s">
        <v>88</v>
      </c>
      <c r="C66" s="101"/>
      <c r="D66" s="101"/>
      <c r="E66" s="102">
        <f>SUMIF(Table4491423[Category],"Emergency Fund",Table4491423[Amount])</f>
        <v>0</v>
      </c>
      <c r="F66" s="84"/>
      <c r="G66" s="78"/>
      <c r="H66" s="144"/>
      <c r="I66" s="149"/>
      <c r="J66" s="149"/>
      <c r="K66" s="150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</row>
    <row r="67" spans="1:26" x14ac:dyDescent="0.2">
      <c r="A67" s="78"/>
      <c r="B67" s="107" t="s">
        <v>55</v>
      </c>
      <c r="C67" s="101"/>
      <c r="D67" s="101"/>
      <c r="E67" s="102">
        <f>SUMIF(Table4491423[Category],"Retirement",Table4491423[Amount])</f>
        <v>0</v>
      </c>
      <c r="F67" s="84"/>
      <c r="G67" s="78"/>
      <c r="H67" s="144"/>
      <c r="I67" s="149"/>
      <c r="J67" s="149"/>
      <c r="K67" s="150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</row>
    <row r="68" spans="1:26" ht="14.25" customHeight="1" x14ac:dyDescent="0.2">
      <c r="A68" s="78"/>
      <c r="B68" s="107" t="s">
        <v>53</v>
      </c>
      <c r="C68" s="101"/>
      <c r="D68" s="101"/>
      <c r="E68" s="102">
        <f>SUMIF(Table4491423[Category],"Investment",Table4491423[Amount])</f>
        <v>0</v>
      </c>
      <c r="F68" s="84"/>
      <c r="G68" s="78"/>
      <c r="H68" s="144"/>
      <c r="I68" s="149"/>
      <c r="J68" s="149"/>
      <c r="K68" s="150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</row>
    <row r="69" spans="1:26" x14ac:dyDescent="0.2">
      <c r="A69" s="78"/>
      <c r="B69" s="100"/>
      <c r="C69" s="101"/>
      <c r="D69" s="101"/>
      <c r="E69" s="102"/>
      <c r="F69" s="84"/>
      <c r="G69" s="78"/>
      <c r="H69" s="144"/>
      <c r="I69" s="149"/>
      <c r="J69" s="149"/>
      <c r="K69" s="150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</row>
    <row r="70" spans="1:26" x14ac:dyDescent="0.2">
      <c r="A70" s="78"/>
      <c r="B70" s="103" t="s">
        <v>86</v>
      </c>
      <c r="C70" s="104" t="e">
        <f>D71/(E81+E62)</f>
        <v>#DIV/0!</v>
      </c>
      <c r="D70" s="101"/>
      <c r="E70" s="102"/>
      <c r="F70" s="84"/>
      <c r="G70" s="78"/>
      <c r="H70" s="144"/>
      <c r="I70" s="149"/>
      <c r="J70" s="149"/>
      <c r="K70" s="150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</row>
    <row r="71" spans="1:26" x14ac:dyDescent="0.2">
      <c r="A71" s="52"/>
      <c r="B71" s="105" t="s">
        <v>95</v>
      </c>
      <c r="C71" s="108"/>
      <c r="D71" s="106">
        <f>SUM(E72:E73)</f>
        <v>0</v>
      </c>
      <c r="E71" s="109"/>
      <c r="F71" s="87">
        <f>SUM(F72:F73)</f>
        <v>0</v>
      </c>
      <c r="G71" s="78"/>
      <c r="H71" s="144"/>
      <c r="I71" s="149"/>
      <c r="J71" s="149"/>
      <c r="K71" s="150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</row>
    <row r="72" spans="1:26" x14ac:dyDescent="0.2">
      <c r="A72" s="78"/>
      <c r="B72" s="110" t="s">
        <v>43</v>
      </c>
      <c r="C72" s="101"/>
      <c r="D72" s="101"/>
      <c r="E72" s="102">
        <f>SUMIF(Table4491423[Category],"Donations",Table4491423[Amount])</f>
        <v>0</v>
      </c>
      <c r="F72" s="84"/>
      <c r="G72" s="78"/>
      <c r="H72" s="144"/>
      <c r="I72" s="149"/>
      <c r="J72" s="149"/>
      <c r="K72" s="150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</row>
    <row r="73" spans="1:26" x14ac:dyDescent="0.2">
      <c r="A73" s="78"/>
      <c r="B73" s="110" t="s">
        <v>90</v>
      </c>
      <c r="C73" s="101"/>
      <c r="D73" s="101"/>
      <c r="E73" s="102">
        <f>SUMIF(Table4491423[Category],"Offering",Table4491423[Amount])</f>
        <v>0</v>
      </c>
      <c r="F73" s="84"/>
      <c r="G73" s="78"/>
      <c r="H73" s="144"/>
      <c r="I73" s="149"/>
      <c r="J73" s="149"/>
      <c r="K73" s="150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</row>
    <row r="74" spans="1:26" x14ac:dyDescent="0.2">
      <c r="A74" s="78"/>
      <c r="B74" s="110"/>
      <c r="C74" s="101"/>
      <c r="D74" s="101"/>
      <c r="E74" s="102"/>
      <c r="F74" s="84"/>
      <c r="G74" s="78"/>
      <c r="H74" s="144"/>
      <c r="I74" s="149"/>
      <c r="J74" s="149"/>
      <c r="K74" s="150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</row>
    <row r="75" spans="1:26" x14ac:dyDescent="0.2">
      <c r="A75" s="78"/>
      <c r="B75" s="111" t="s">
        <v>89</v>
      </c>
      <c r="C75" s="104" t="e">
        <f>D76/(E81+E62)</f>
        <v>#DIV/0!</v>
      </c>
      <c r="D75" s="101"/>
      <c r="E75" s="102"/>
      <c r="F75" s="84"/>
      <c r="G75" s="78"/>
      <c r="H75" s="144"/>
      <c r="I75" s="149"/>
      <c r="J75" s="149"/>
      <c r="K75" s="150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</row>
    <row r="76" spans="1:26" x14ac:dyDescent="0.2">
      <c r="A76" s="78"/>
      <c r="B76" s="112" t="s">
        <v>104</v>
      </c>
      <c r="C76" s="101"/>
      <c r="D76" s="106">
        <f>SUM(E77:E79)</f>
        <v>0</v>
      </c>
      <c r="E76" s="102"/>
      <c r="F76" s="87">
        <f>SUM(F77:F79)</f>
        <v>0</v>
      </c>
      <c r="G76" s="78"/>
      <c r="H76" s="144"/>
      <c r="I76" s="149"/>
      <c r="J76" s="149"/>
      <c r="K76" s="150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</row>
    <row r="77" spans="1:26" x14ac:dyDescent="0.2">
      <c r="A77" s="78"/>
      <c r="B77" s="110" t="s">
        <v>92</v>
      </c>
      <c r="C77" s="101"/>
      <c r="D77" s="101"/>
      <c r="E77" s="102">
        <f>SUMIF(Table4491423[Category],"Student Loan",Table4491423[Amount])</f>
        <v>0</v>
      </c>
      <c r="F77" s="84"/>
      <c r="G77" s="78"/>
      <c r="H77" s="144"/>
      <c r="I77" s="149"/>
      <c r="J77" s="149"/>
      <c r="K77" s="150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</row>
    <row r="78" spans="1:26" x14ac:dyDescent="0.2">
      <c r="A78" s="78"/>
      <c r="B78" s="107" t="s">
        <v>91</v>
      </c>
      <c r="C78" s="101"/>
      <c r="D78" s="101"/>
      <c r="E78" s="102">
        <f>SUMIF(Table4491423[Category],"Credit Card",Table4491423[Amount])</f>
        <v>0</v>
      </c>
      <c r="F78" s="84"/>
      <c r="G78" s="78"/>
      <c r="H78" s="144"/>
      <c r="I78" s="149"/>
      <c r="J78" s="149"/>
      <c r="K78" s="150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</row>
    <row r="79" spans="1:26" x14ac:dyDescent="0.2">
      <c r="A79" s="78"/>
      <c r="B79" s="110" t="s">
        <v>93</v>
      </c>
      <c r="C79" s="101"/>
      <c r="D79" s="101"/>
      <c r="E79" s="102">
        <f>SUMIF(Table4491423[Category],"Car",Table4491423[Amount])</f>
        <v>0</v>
      </c>
      <c r="F79" s="84"/>
      <c r="G79" s="1"/>
      <c r="H79" s="144"/>
      <c r="I79" s="149"/>
      <c r="J79" s="149"/>
      <c r="K79" s="150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</row>
    <row r="80" spans="1:26" s="54" customFormat="1" x14ac:dyDescent="0.2">
      <c r="A80" s="78"/>
      <c r="B80" s="111"/>
      <c r="C80" s="101"/>
      <c r="D80" s="101"/>
      <c r="E80" s="102"/>
      <c r="F80" s="84"/>
      <c r="G80" s="53"/>
      <c r="H80" s="148"/>
      <c r="I80" s="151"/>
      <c r="J80" s="151"/>
      <c r="K80" s="1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spans="1:26" ht="16" thickBot="1" x14ac:dyDescent="0.25">
      <c r="A81" s="78"/>
      <c r="B81" s="113" t="s">
        <v>35</v>
      </c>
      <c r="C81" s="114"/>
      <c r="D81" s="114"/>
      <c r="E81" s="115">
        <f>SUM(D65,D76,D71)</f>
        <v>0</v>
      </c>
      <c r="F81" s="85">
        <f>SUM(F65,F71,F76)</f>
        <v>0</v>
      </c>
      <c r="G81" s="1"/>
      <c r="H81" s="153"/>
      <c r="I81" s="154"/>
      <c r="J81" s="154"/>
      <c r="K81" s="155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</row>
    <row r="82" spans="1:26" x14ac:dyDescent="0.2">
      <c r="A82" s="78"/>
      <c r="B82" s="78"/>
      <c r="C82" s="78"/>
      <c r="D82" s="78"/>
      <c r="E82" s="78"/>
      <c r="F82" s="78"/>
      <c r="G82" s="1"/>
      <c r="H82" s="1"/>
      <c r="I82" s="1"/>
      <c r="J82" s="1"/>
      <c r="K82" s="1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</row>
    <row r="83" spans="1:26" ht="16" thickBot="1" x14ac:dyDescent="0.25">
      <c r="A83" s="78"/>
      <c r="B83" s="78"/>
      <c r="C83" s="78"/>
      <c r="D83" s="78"/>
      <c r="E83" s="78"/>
      <c r="F83" s="78"/>
      <c r="G83" s="1"/>
      <c r="H83" s="1"/>
      <c r="I83" s="1"/>
      <c r="J83" s="1"/>
      <c r="K83" s="1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</row>
    <row r="84" spans="1:26" x14ac:dyDescent="0.2">
      <c r="A84" s="78"/>
      <c r="B84" s="195" t="str">
        <f>B30</f>
        <v>LIVING EXPENSES</v>
      </c>
      <c r="C84" s="196" t="e">
        <f>C30</f>
        <v>#DIV/0!</v>
      </c>
      <c r="D84" s="78"/>
      <c r="E84" s="78"/>
      <c r="F84" s="78"/>
      <c r="G84" s="78"/>
      <c r="H84" s="1"/>
      <c r="I84" s="1"/>
      <c r="J84" s="1"/>
      <c r="K84" s="1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</row>
    <row r="85" spans="1:26" x14ac:dyDescent="0.2">
      <c r="A85" s="78"/>
      <c r="B85" s="144" t="str">
        <f>B51</f>
        <v>INDULGENCE EXPENSES</v>
      </c>
      <c r="C85" s="197" t="e">
        <f>C51</f>
        <v>#DIV/0!</v>
      </c>
      <c r="D85" s="78"/>
      <c r="E85" s="78"/>
      <c r="F85" s="78"/>
      <c r="G85" s="78"/>
      <c r="H85" s="1"/>
      <c r="I85" s="1"/>
      <c r="J85" s="1"/>
      <c r="K85" s="1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</row>
    <row r="86" spans="1:26" x14ac:dyDescent="0.2">
      <c r="A86" s="78"/>
      <c r="B86" s="144" t="str">
        <f>B64</f>
        <v>SAVINGS</v>
      </c>
      <c r="C86" s="197" t="e">
        <f>C64</f>
        <v>#DIV/0!</v>
      </c>
      <c r="D86" s="78"/>
      <c r="E86" s="78"/>
      <c r="F86" s="78"/>
      <c r="G86" s="78"/>
      <c r="H86" s="1"/>
      <c r="I86" s="1"/>
      <c r="J86" s="1"/>
      <c r="K86" s="1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</row>
    <row r="87" spans="1:26" x14ac:dyDescent="0.2">
      <c r="A87" s="78"/>
      <c r="B87" s="144" t="str">
        <f>B70</f>
        <v>TITHINGS</v>
      </c>
      <c r="C87" s="197" t="e">
        <f>C70</f>
        <v>#DIV/0!</v>
      </c>
      <c r="D87" s="78"/>
      <c r="E87" s="78"/>
      <c r="F87" s="78"/>
      <c r="G87" s="78"/>
      <c r="H87" s="1"/>
      <c r="I87" s="1"/>
      <c r="J87" s="1"/>
      <c r="K87" s="1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</row>
    <row r="88" spans="1:26" ht="16" thickBot="1" x14ac:dyDescent="0.25">
      <c r="A88" s="78"/>
      <c r="B88" s="153" t="str">
        <f>B75</f>
        <v>DEBT REPAYMENT</v>
      </c>
      <c r="C88" s="198" t="e">
        <f>C75</f>
        <v>#DIV/0!</v>
      </c>
      <c r="D88" s="78"/>
      <c r="E88" s="78"/>
      <c r="F88" s="78"/>
      <c r="G88" s="78"/>
      <c r="H88" s="1"/>
      <c r="I88" s="1"/>
      <c r="J88" s="1"/>
      <c r="K88" s="1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</row>
    <row r="89" spans="1:26" x14ac:dyDescent="0.2">
      <c r="A89" s="78"/>
      <c r="B89" s="78"/>
      <c r="C89" s="78"/>
      <c r="D89" s="78"/>
      <c r="E89" s="78"/>
      <c r="F89" s="78"/>
      <c r="G89" s="78"/>
      <c r="H89" s="1"/>
      <c r="I89" s="1"/>
      <c r="J89" s="1"/>
      <c r="K89" s="1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</row>
    <row r="90" spans="1:26" x14ac:dyDescent="0.2">
      <c r="A90" s="78"/>
      <c r="B90" s="78"/>
      <c r="C90" s="78"/>
      <c r="D90" s="78"/>
      <c r="E90" s="78"/>
      <c r="F90" s="78"/>
      <c r="G90" s="78"/>
      <c r="H90" s="1"/>
      <c r="I90" s="1"/>
      <c r="J90" s="1"/>
      <c r="K90" s="1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</row>
    <row r="91" spans="1:26" x14ac:dyDescent="0.2">
      <c r="A91" s="78"/>
      <c r="B91" s="78"/>
      <c r="C91" s="78"/>
      <c r="D91" s="78"/>
      <c r="E91" s="78"/>
      <c r="F91" s="78"/>
      <c r="G91" s="78"/>
      <c r="H91" s="1"/>
      <c r="I91" s="1"/>
      <c r="J91" s="1"/>
      <c r="K91" s="1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</row>
    <row r="92" spans="1:26" x14ac:dyDescent="0.2">
      <c r="A92" s="78"/>
      <c r="B92" s="78"/>
      <c r="C92" s="78"/>
      <c r="D92" s="78"/>
      <c r="E92" s="78"/>
      <c r="F92" s="78"/>
      <c r="G92" s="78"/>
      <c r="H92" s="1"/>
      <c r="I92" s="1"/>
      <c r="J92" s="1"/>
      <c r="K92" s="1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</row>
    <row r="93" spans="1:26" x14ac:dyDescent="0.2">
      <c r="A93" s="78"/>
      <c r="B93" s="78"/>
      <c r="C93" s="78"/>
      <c r="D93" s="78"/>
      <c r="E93" s="78"/>
      <c r="F93" s="78"/>
      <c r="G93" s="78"/>
      <c r="H93" s="1"/>
      <c r="I93" s="1"/>
      <c r="J93" s="1"/>
      <c r="K93" s="1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</row>
    <row r="94" spans="1:26" x14ac:dyDescent="0.2">
      <c r="A94" s="78"/>
      <c r="B94" s="78"/>
      <c r="C94" s="78"/>
      <c r="D94" s="78"/>
      <c r="E94" s="78"/>
      <c r="F94" s="78"/>
      <c r="G94" s="78"/>
      <c r="H94" s="1"/>
      <c r="I94" s="1"/>
      <c r="J94" s="1"/>
      <c r="K94" s="1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</row>
    <row r="95" spans="1:26" x14ac:dyDescent="0.2">
      <c r="A95" s="78"/>
      <c r="B95" s="78"/>
      <c r="C95" s="78"/>
      <c r="D95" s="78"/>
      <c r="E95" s="78"/>
      <c r="F95" s="78"/>
      <c r="G95" s="78"/>
      <c r="H95" s="1"/>
      <c r="I95" s="1"/>
      <c r="J95" s="1"/>
      <c r="K95" s="1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</row>
    <row r="96" spans="1:26" x14ac:dyDescent="0.2">
      <c r="A96" s="78"/>
      <c r="B96" s="78"/>
      <c r="C96" s="78"/>
      <c r="D96" s="78"/>
      <c r="E96" s="78"/>
      <c r="F96" s="78"/>
      <c r="G96" s="1"/>
      <c r="H96" s="1"/>
      <c r="I96" s="1"/>
      <c r="J96" s="1"/>
      <c r="K96" s="1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</row>
    <row r="97" spans="1:26" x14ac:dyDescent="0.2">
      <c r="A97" s="78"/>
      <c r="B97" s="78"/>
      <c r="C97" s="78"/>
      <c r="D97" s="78"/>
      <c r="E97" s="78"/>
      <c r="F97" s="78"/>
      <c r="G97" s="1"/>
      <c r="H97" s="1"/>
      <c r="I97" s="1"/>
      <c r="J97" s="1"/>
      <c r="K97" s="1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</row>
    <row r="98" spans="1:26" x14ac:dyDescent="0.2">
      <c r="A98" s="78"/>
      <c r="B98" s="78"/>
      <c r="C98" s="78"/>
      <c r="D98" s="78"/>
      <c r="E98" s="78"/>
      <c r="F98" s="78"/>
      <c r="G98" s="1"/>
      <c r="H98" s="1"/>
      <c r="I98" s="1"/>
      <c r="J98" s="1"/>
      <c r="K98" s="1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</row>
    <row r="99" spans="1:26" x14ac:dyDescent="0.2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</row>
    <row r="100" spans="1:26" x14ac:dyDescent="0.2">
      <c r="A100" s="78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</row>
    <row r="101" spans="1:26" x14ac:dyDescent="0.2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</row>
    <row r="102" spans="1:26" x14ac:dyDescent="0.2">
      <c r="A102" s="78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</row>
    <row r="103" spans="1:26" x14ac:dyDescent="0.2">
      <c r="A103" s="78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</row>
    <row r="104" spans="1:26" x14ac:dyDescent="0.2">
      <c r="A104" s="78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</row>
    <row r="105" spans="1:26" x14ac:dyDescent="0.2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</row>
    <row r="106" spans="1:26" x14ac:dyDescent="0.2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</row>
    <row r="107" spans="1:26" x14ac:dyDescent="0.2">
      <c r="A107" s="78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</row>
    <row r="108" spans="1:26" x14ac:dyDescent="0.2">
      <c r="A108" s="78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</row>
  </sheetData>
  <mergeCells count="11">
    <mergeCell ref="D9:E9"/>
    <mergeCell ref="B2:I2"/>
    <mergeCell ref="B6:C6"/>
    <mergeCell ref="D6:F6"/>
    <mergeCell ref="D7:E7"/>
    <mergeCell ref="D8:E8"/>
    <mergeCell ref="D10:E10"/>
    <mergeCell ref="D12:E12"/>
    <mergeCell ref="D13:E13"/>
    <mergeCell ref="B15:F15"/>
    <mergeCell ref="H20:K20"/>
  </mergeCells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11D7B-4CFF-49F2-A217-AF92DE942DB3}">
  <dimension ref="A1:Z108"/>
  <sheetViews>
    <sheetView workbookViewId="0"/>
  </sheetViews>
  <sheetFormatPr baseColWidth="10" defaultColWidth="9.1640625" defaultRowHeight="15" x14ac:dyDescent="0.2"/>
  <cols>
    <col min="1" max="1" width="10.6640625" style="75" customWidth="1"/>
    <col min="2" max="2" width="21.1640625" style="75" customWidth="1"/>
    <col min="3" max="6" width="10.6640625" style="75" customWidth="1"/>
    <col min="7" max="7" width="11" style="75" customWidth="1"/>
    <col min="8" max="8" width="12.6640625" style="75" customWidth="1"/>
    <col min="9" max="9" width="31.5" style="75" customWidth="1"/>
    <col min="10" max="10" width="15.6640625" style="75" customWidth="1"/>
    <col min="11" max="11" width="11.6640625" style="75" customWidth="1"/>
    <col min="12" max="13" width="9.1640625" style="75"/>
    <col min="14" max="19" width="10.6640625" style="75" customWidth="1"/>
    <col min="20" max="16384" width="9.1640625" style="75"/>
  </cols>
  <sheetData>
    <row r="1" spans="1:26" ht="16" thickBo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ht="20" thickBot="1" x14ac:dyDescent="0.3">
      <c r="A2" s="78"/>
      <c r="B2" s="214" t="s">
        <v>139</v>
      </c>
      <c r="C2" s="215"/>
      <c r="D2" s="215"/>
      <c r="E2" s="215"/>
      <c r="F2" s="215"/>
      <c r="G2" s="215"/>
      <c r="H2" s="215"/>
      <c r="I2" s="216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26" x14ac:dyDescent="0.2">
      <c r="A3" s="78"/>
      <c r="B3" s="140" t="s">
        <v>59</v>
      </c>
      <c r="C3" s="141" t="s">
        <v>20</v>
      </c>
      <c r="D3" s="141" t="s">
        <v>52</v>
      </c>
      <c r="E3" s="141" t="s">
        <v>12</v>
      </c>
      <c r="F3" s="142" t="s">
        <v>54</v>
      </c>
      <c r="G3" s="142" t="s">
        <v>14</v>
      </c>
      <c r="H3" s="142" t="s">
        <v>60</v>
      </c>
      <c r="I3" s="143" t="s">
        <v>55</v>
      </c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26" ht="16" thickBot="1" x14ac:dyDescent="0.25">
      <c r="A4" s="78"/>
      <c r="B4" s="95">
        <v>0</v>
      </c>
      <c r="C4" s="96">
        <v>0</v>
      </c>
      <c r="D4" s="96">
        <v>0</v>
      </c>
      <c r="E4" s="96">
        <v>0</v>
      </c>
      <c r="F4" s="97">
        <v>0</v>
      </c>
      <c r="G4" s="98">
        <v>0</v>
      </c>
      <c r="H4" s="98">
        <v>0</v>
      </c>
      <c r="I4" s="99">
        <v>0</v>
      </c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26" ht="16" thickBot="1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spans="1:26" ht="19" x14ac:dyDescent="0.25">
      <c r="A6" s="78"/>
      <c r="B6" s="217" t="s">
        <v>140</v>
      </c>
      <c r="C6" s="218"/>
      <c r="D6" s="219" t="s">
        <v>141</v>
      </c>
      <c r="E6" s="220"/>
      <c r="F6" s="221"/>
      <c r="G6" s="78"/>
      <c r="H6" s="1"/>
      <c r="I6" s="1"/>
      <c r="J6" s="1"/>
      <c r="K6" s="1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pans="1:26" x14ac:dyDescent="0.2">
      <c r="A7" s="78"/>
      <c r="B7" s="117" t="s">
        <v>2</v>
      </c>
      <c r="C7" s="118">
        <v>0</v>
      </c>
      <c r="D7" s="222" t="str">
        <f t="shared" ref="D7:D13" si="0">B7</f>
        <v>Income</v>
      </c>
      <c r="E7" s="223"/>
      <c r="F7" s="119">
        <f>F27</f>
        <v>0</v>
      </c>
      <c r="G7" s="78"/>
      <c r="H7" s="1"/>
      <c r="I7" s="1"/>
      <c r="J7" s="1"/>
      <c r="K7" s="1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</row>
    <row r="8" spans="1:26" x14ac:dyDescent="0.2">
      <c r="A8" s="78"/>
      <c r="B8" s="120" t="s">
        <v>12</v>
      </c>
      <c r="C8" s="121">
        <f>SUM(F66:F68)</f>
        <v>0</v>
      </c>
      <c r="D8" s="228" t="str">
        <f t="shared" si="0"/>
        <v>Savings</v>
      </c>
      <c r="E8" s="229"/>
      <c r="F8" s="122">
        <f>D65</f>
        <v>0</v>
      </c>
      <c r="G8" s="78"/>
      <c r="H8" s="1"/>
      <c r="I8" s="1"/>
      <c r="J8" s="1"/>
      <c r="K8" s="1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</row>
    <row r="9" spans="1:26" x14ac:dyDescent="0.2">
      <c r="A9" s="78"/>
      <c r="B9" s="123" t="s">
        <v>120</v>
      </c>
      <c r="C9" s="124">
        <f>SUM(F72:F73)</f>
        <v>0</v>
      </c>
      <c r="D9" s="232" t="str">
        <f t="shared" si="0"/>
        <v>Tithing</v>
      </c>
      <c r="E9" s="232"/>
      <c r="F9" s="125">
        <f>D71</f>
        <v>0</v>
      </c>
      <c r="G9" s="78"/>
      <c r="H9" s="1"/>
      <c r="I9" s="1"/>
      <c r="J9" s="1"/>
      <c r="K9" s="1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</row>
    <row r="10" spans="1:26" x14ac:dyDescent="0.2">
      <c r="A10" s="78"/>
      <c r="B10" s="126" t="s">
        <v>14</v>
      </c>
      <c r="C10" s="127">
        <f>SUM(F77:F79)</f>
        <v>0</v>
      </c>
      <c r="D10" s="230" t="str">
        <f t="shared" si="0"/>
        <v>Debt</v>
      </c>
      <c r="E10" s="231"/>
      <c r="F10" s="128">
        <f>D76</f>
        <v>0</v>
      </c>
      <c r="G10" s="78"/>
      <c r="H10" s="1"/>
      <c r="I10" s="1"/>
      <c r="J10" s="1"/>
      <c r="K10" s="1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</row>
    <row r="11" spans="1:26" x14ac:dyDescent="0.2">
      <c r="A11" s="78"/>
      <c r="B11" s="129" t="s">
        <v>124</v>
      </c>
      <c r="C11" s="130">
        <f>C7-C8-C9-C10</f>
        <v>0</v>
      </c>
      <c r="D11" s="131" t="str">
        <f t="shared" si="0"/>
        <v>Budgeted</v>
      </c>
      <c r="E11" s="132"/>
      <c r="F11" s="133">
        <f>F7-F8-F9-F10</f>
        <v>0</v>
      </c>
      <c r="G11" s="78"/>
      <c r="H11" s="1"/>
      <c r="I11" s="1"/>
      <c r="J11" s="1"/>
      <c r="K11" s="1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</row>
    <row r="12" spans="1:26" x14ac:dyDescent="0.2">
      <c r="A12" s="78"/>
      <c r="B12" s="134" t="s">
        <v>0</v>
      </c>
      <c r="C12" s="135">
        <f>F62</f>
        <v>0</v>
      </c>
      <c r="D12" s="224" t="str">
        <f t="shared" si="0"/>
        <v>Expenses</v>
      </c>
      <c r="E12" s="225"/>
      <c r="F12" s="136">
        <f>E62</f>
        <v>0</v>
      </c>
      <c r="G12" s="78"/>
      <c r="H12" s="1"/>
      <c r="I12" s="1"/>
      <c r="J12" s="1"/>
      <c r="K12" s="1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</row>
    <row r="13" spans="1:26" ht="16" thickBot="1" x14ac:dyDescent="0.25">
      <c r="A13" s="78"/>
      <c r="B13" s="137" t="s">
        <v>123</v>
      </c>
      <c r="C13" s="138">
        <f>C11-C12</f>
        <v>0</v>
      </c>
      <c r="D13" s="226" t="str">
        <f t="shared" si="0"/>
        <v>Remaining</v>
      </c>
      <c r="E13" s="227"/>
      <c r="F13" s="139">
        <f>F11-F12</f>
        <v>0</v>
      </c>
      <c r="G13" s="78"/>
      <c r="H13" s="1"/>
      <c r="I13" s="1"/>
      <c r="J13" s="1"/>
      <c r="K13" s="1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</row>
    <row r="14" spans="1:26" ht="16" thickBot="1" x14ac:dyDescent="0.25">
      <c r="A14" s="78"/>
      <c r="B14" s="78"/>
      <c r="C14" s="78"/>
      <c r="D14" s="78"/>
      <c r="E14" s="78"/>
      <c r="F14" s="78"/>
      <c r="G14" s="78"/>
      <c r="H14" s="1"/>
      <c r="I14" s="1"/>
      <c r="J14" s="1"/>
      <c r="K14" s="1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</row>
    <row r="15" spans="1:26" ht="20" thickBot="1" x14ac:dyDescent="0.3">
      <c r="A15" s="78"/>
      <c r="B15" s="214" t="s">
        <v>142</v>
      </c>
      <c r="C15" s="215"/>
      <c r="D15" s="215"/>
      <c r="E15" s="215"/>
      <c r="F15" s="216"/>
      <c r="G15" s="78"/>
      <c r="H15" s="1"/>
      <c r="I15" s="1"/>
      <c r="J15" s="1"/>
      <c r="K15" s="1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</row>
    <row r="16" spans="1:26" ht="17" thickBot="1" x14ac:dyDescent="0.25">
      <c r="A16" s="78"/>
      <c r="B16" s="63" t="s">
        <v>2</v>
      </c>
      <c r="C16" s="64"/>
      <c r="D16" s="65"/>
      <c r="E16" s="65"/>
      <c r="F16" s="66"/>
      <c r="G16" s="78"/>
      <c r="H16" s="1"/>
      <c r="I16" s="1"/>
      <c r="J16" s="1"/>
      <c r="K16" s="1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</row>
    <row r="17" spans="1:26" x14ac:dyDescent="0.2">
      <c r="A17" s="78"/>
      <c r="B17" s="4"/>
      <c r="C17" s="2"/>
      <c r="D17" s="2"/>
      <c r="E17" s="2"/>
      <c r="F17" s="62"/>
      <c r="G17" s="78"/>
      <c r="H17" s="1"/>
      <c r="I17" s="1"/>
      <c r="J17" s="1"/>
      <c r="K17" s="1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</row>
    <row r="18" spans="1:26" x14ac:dyDescent="0.2">
      <c r="A18" s="78"/>
      <c r="B18" s="4"/>
      <c r="C18" s="2"/>
      <c r="D18" s="2"/>
      <c r="E18" s="2"/>
      <c r="F18" s="55"/>
      <c r="G18" s="78"/>
      <c r="H18" s="1"/>
      <c r="I18" s="1"/>
      <c r="J18" s="1"/>
      <c r="K18" s="1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</row>
    <row r="19" spans="1:26" ht="16" thickBot="1" x14ac:dyDescent="0.25">
      <c r="A19" s="78"/>
      <c r="B19" s="4"/>
      <c r="C19" s="2"/>
      <c r="D19" s="2"/>
      <c r="E19" s="2"/>
      <c r="F19" s="55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</row>
    <row r="20" spans="1:26" ht="20" thickBot="1" x14ac:dyDescent="0.3">
      <c r="A20" s="78"/>
      <c r="B20" s="4"/>
      <c r="C20" s="2"/>
      <c r="D20" s="2"/>
      <c r="E20" s="2"/>
      <c r="F20" s="55"/>
      <c r="G20" s="78"/>
      <c r="H20" s="214" t="s">
        <v>143</v>
      </c>
      <c r="I20" s="215"/>
      <c r="J20" s="215"/>
      <c r="K20" s="216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</row>
    <row r="21" spans="1:26" x14ac:dyDescent="0.2">
      <c r="A21" s="78"/>
      <c r="B21" s="4"/>
      <c r="C21" s="2"/>
      <c r="D21" s="2"/>
      <c r="E21" s="2"/>
      <c r="F21" s="55"/>
      <c r="G21" s="78"/>
      <c r="H21" s="76" t="s">
        <v>5</v>
      </c>
      <c r="I21" s="76" t="s">
        <v>7</v>
      </c>
      <c r="J21" s="76" t="s">
        <v>8</v>
      </c>
      <c r="K21" s="77" t="s">
        <v>6</v>
      </c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</row>
    <row r="22" spans="1:26" x14ac:dyDescent="0.2">
      <c r="A22" s="78"/>
      <c r="B22" s="4"/>
      <c r="C22" s="2"/>
      <c r="D22" s="2"/>
      <c r="E22" s="2"/>
      <c r="F22" s="55"/>
      <c r="G22" s="78"/>
      <c r="H22" s="79"/>
      <c r="I22" s="76"/>
      <c r="J22" s="76"/>
      <c r="K22" s="77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</row>
    <row r="23" spans="1:26" x14ac:dyDescent="0.2">
      <c r="A23" s="78"/>
      <c r="B23" s="4"/>
      <c r="C23" s="2"/>
      <c r="D23" s="2"/>
      <c r="E23" s="2"/>
      <c r="F23" s="55"/>
      <c r="G23" s="78"/>
      <c r="H23" s="79"/>
      <c r="I23" s="76"/>
      <c r="J23" s="76"/>
      <c r="K23" s="77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</row>
    <row r="24" spans="1:26" x14ac:dyDescent="0.2">
      <c r="A24" s="78"/>
      <c r="B24" s="4"/>
      <c r="C24" s="2"/>
      <c r="D24" s="2"/>
      <c r="E24" s="2"/>
      <c r="F24" s="55"/>
      <c r="G24" s="78"/>
      <c r="H24" s="79"/>
      <c r="I24" s="76"/>
      <c r="J24" s="76"/>
      <c r="K24" s="77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</row>
    <row r="25" spans="1:26" x14ac:dyDescent="0.2">
      <c r="A25" s="78"/>
      <c r="B25" s="4"/>
      <c r="C25" s="2"/>
      <c r="D25" s="2"/>
      <c r="E25" s="2"/>
      <c r="F25" s="55"/>
      <c r="G25" s="78"/>
      <c r="H25" s="79"/>
      <c r="I25" s="76"/>
      <c r="J25" s="76"/>
      <c r="K25" s="77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</row>
    <row r="26" spans="1:26" x14ac:dyDescent="0.2">
      <c r="A26" s="78"/>
      <c r="B26" s="5"/>
      <c r="C26" s="2"/>
      <c r="D26" s="2"/>
      <c r="E26" s="2"/>
      <c r="F26" s="56"/>
      <c r="G26" s="78"/>
      <c r="H26" s="79"/>
      <c r="I26" s="76"/>
      <c r="J26" s="76"/>
      <c r="K26" s="77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</row>
    <row r="27" spans="1:26" s="41" customFormat="1" ht="16" thickBot="1" x14ac:dyDescent="0.25">
      <c r="A27" s="78"/>
      <c r="B27" s="6" t="s">
        <v>3</v>
      </c>
      <c r="C27" s="7"/>
      <c r="D27" s="58"/>
      <c r="E27" s="58"/>
      <c r="F27" s="57">
        <f>SUM(F17:F26)</f>
        <v>0</v>
      </c>
      <c r="G27" s="78"/>
      <c r="H27" s="79"/>
      <c r="I27" s="76"/>
      <c r="J27" s="76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</row>
    <row r="28" spans="1:26" ht="16" thickBot="1" x14ac:dyDescent="0.25">
      <c r="A28" s="78"/>
      <c r="B28" s="59"/>
      <c r="C28" s="60"/>
      <c r="D28" s="60"/>
      <c r="E28" s="60"/>
      <c r="F28" s="61"/>
      <c r="G28" s="78"/>
      <c r="H28" s="79"/>
      <c r="I28" s="76"/>
      <c r="J28" s="76"/>
      <c r="K28" s="77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</row>
    <row r="29" spans="1:26" ht="17" thickBot="1" x14ac:dyDescent="0.25">
      <c r="A29" s="78"/>
      <c r="B29" s="51" t="s">
        <v>0</v>
      </c>
      <c r="C29" s="49"/>
      <c r="D29" s="49"/>
      <c r="E29" s="49"/>
      <c r="F29" s="68" t="s">
        <v>1</v>
      </c>
      <c r="G29" s="78"/>
      <c r="H29" s="79"/>
      <c r="I29" s="76"/>
      <c r="J29" s="76"/>
      <c r="K29" s="77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</row>
    <row r="30" spans="1:26" x14ac:dyDescent="0.2">
      <c r="A30" s="78"/>
      <c r="B30" s="67" t="s">
        <v>87</v>
      </c>
      <c r="C30" s="72" t="e">
        <f>(D31+D34+D40+D46)/(E81+E62)</f>
        <v>#DIV/0!</v>
      </c>
      <c r="D30" s="71"/>
      <c r="E30" s="89"/>
      <c r="F30" s="91"/>
      <c r="G30" s="78"/>
      <c r="H30" s="79"/>
      <c r="I30" s="76"/>
      <c r="J30" s="76"/>
      <c r="K30" s="77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</row>
    <row r="31" spans="1:26" x14ac:dyDescent="0.2">
      <c r="A31" s="78"/>
      <c r="B31" s="81" t="s">
        <v>37</v>
      </c>
      <c r="C31" s="3"/>
      <c r="D31" s="92">
        <f>SUM(E32:E33)</f>
        <v>0</v>
      </c>
      <c r="E31" s="3"/>
      <c r="F31" s="87">
        <f>SUM(F32:F33)</f>
        <v>0</v>
      </c>
      <c r="G31" s="78"/>
      <c r="H31" s="79"/>
      <c r="I31" s="76"/>
      <c r="J31" s="76"/>
      <c r="K31" s="77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</row>
    <row r="32" spans="1:26" x14ac:dyDescent="0.2">
      <c r="A32" s="78"/>
      <c r="B32" s="46" t="s">
        <v>62</v>
      </c>
      <c r="C32" s="3"/>
      <c r="D32" s="3"/>
      <c r="E32" s="3">
        <f>SUMIF(Table449142345[Category],"Rent",Table449142345[Amount])</f>
        <v>0</v>
      </c>
      <c r="F32" s="84"/>
      <c r="G32" s="78"/>
      <c r="H32" s="79"/>
      <c r="I32" s="76"/>
      <c r="J32" s="76"/>
      <c r="K32" s="77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</row>
    <row r="33" spans="1:26" x14ac:dyDescent="0.2">
      <c r="A33" s="78"/>
      <c r="B33" s="46" t="s">
        <v>38</v>
      </c>
      <c r="C33" s="3"/>
      <c r="D33" s="3"/>
      <c r="E33" s="3">
        <f>SUMIF(Table449142345[Category],"Utilities",Table449142345[Amount])</f>
        <v>0</v>
      </c>
      <c r="F33" s="84"/>
      <c r="G33" s="78"/>
      <c r="H33" s="79"/>
      <c r="I33" s="76"/>
      <c r="J33" s="76"/>
      <c r="K33" s="77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</row>
    <row r="34" spans="1:26" x14ac:dyDescent="0.2">
      <c r="A34" s="78"/>
      <c r="B34" s="47" t="s">
        <v>39</v>
      </c>
      <c r="C34" s="3"/>
      <c r="D34" s="92">
        <f>SUM(E35:E39)</f>
        <v>0</v>
      </c>
      <c r="E34" s="3"/>
      <c r="F34" s="87">
        <f>SUM(F35:F39)</f>
        <v>0</v>
      </c>
      <c r="G34" s="78"/>
      <c r="H34" s="79"/>
      <c r="I34" s="76"/>
      <c r="J34" s="76"/>
      <c r="K34" s="77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</row>
    <row r="35" spans="1:26" ht="15.75" customHeight="1" x14ac:dyDescent="0.2">
      <c r="A35" s="78"/>
      <c r="B35" s="46" t="s">
        <v>82</v>
      </c>
      <c r="C35" s="3"/>
      <c r="D35" s="3"/>
      <c r="E35" s="3">
        <f>SUMIF(Table449142345[Category],"Restaurants",Table449142345[Amount])</f>
        <v>0</v>
      </c>
      <c r="F35" s="84"/>
      <c r="G35" s="78"/>
      <c r="H35" s="79"/>
      <c r="I35" s="76"/>
      <c r="J35" s="76"/>
      <c r="K35" s="77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</row>
    <row r="36" spans="1:26" ht="14.25" customHeight="1" x14ac:dyDescent="0.2">
      <c r="A36" s="78"/>
      <c r="B36" s="46" t="s">
        <v>63</v>
      </c>
      <c r="C36" s="3"/>
      <c r="D36" s="3"/>
      <c r="E36" s="3">
        <f>SUMIF(Table449142345[Category],"Fast Food",Table449142345[Amount])</f>
        <v>0</v>
      </c>
      <c r="F36" s="84"/>
      <c r="G36" s="78"/>
      <c r="H36" s="79"/>
      <c r="I36" s="76"/>
      <c r="J36" s="76"/>
      <c r="K36" s="77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</row>
    <row r="37" spans="1:26" x14ac:dyDescent="0.2">
      <c r="A37" s="78"/>
      <c r="B37" s="46" t="s">
        <v>64</v>
      </c>
      <c r="C37" s="3"/>
      <c r="D37" s="3"/>
      <c r="E37" s="3">
        <f>SUMIF(Table449142345[Category],"Groceries",Table449142345[Amount])</f>
        <v>0</v>
      </c>
      <c r="F37" s="84"/>
      <c r="G37" s="78"/>
      <c r="H37" s="79"/>
      <c r="I37" s="76"/>
      <c r="J37" s="76"/>
      <c r="K37" s="77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</row>
    <row r="38" spans="1:26" x14ac:dyDescent="0.2">
      <c r="A38" s="78"/>
      <c r="B38" s="46" t="s">
        <v>65</v>
      </c>
      <c r="C38" s="3"/>
      <c r="D38" s="3"/>
      <c r="E38" s="3">
        <f>SUMIF(Table449142345[Category],"Coffee",Table449142345[Amount])</f>
        <v>0</v>
      </c>
      <c r="F38" s="84"/>
      <c r="G38" s="78"/>
      <c r="H38" s="79"/>
      <c r="I38" s="76"/>
      <c r="J38" s="76"/>
      <c r="K38" s="77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</row>
    <row r="39" spans="1:26" x14ac:dyDescent="0.2">
      <c r="A39" s="78"/>
      <c r="B39" s="46" t="s">
        <v>66</v>
      </c>
      <c r="C39" s="3"/>
      <c r="D39" s="3"/>
      <c r="E39" s="3">
        <f>SUMIF(Table449142345[Category],"Bars",Table449142345[Amount])</f>
        <v>0</v>
      </c>
      <c r="F39" s="84"/>
      <c r="G39" s="78"/>
      <c r="H39" s="79"/>
      <c r="I39" s="76"/>
      <c r="J39" s="76"/>
      <c r="K39" s="77"/>
      <c r="L39" s="78"/>
      <c r="M39" s="78"/>
      <c r="N39" s="37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spans="1:26" x14ac:dyDescent="0.2">
      <c r="A40" s="78"/>
      <c r="B40" s="48" t="s">
        <v>67</v>
      </c>
      <c r="C40" s="44"/>
      <c r="D40" s="93">
        <f>SUM(E41:E45)</f>
        <v>0</v>
      </c>
      <c r="E40" s="3"/>
      <c r="F40" s="88">
        <f>SUM(F41:F45)</f>
        <v>0</v>
      </c>
      <c r="G40" s="78"/>
      <c r="H40" s="79"/>
      <c r="I40" s="76"/>
      <c r="J40" s="76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spans="1:26" x14ac:dyDescent="0.2">
      <c r="A41" s="1"/>
      <c r="B41" s="46" t="s">
        <v>42</v>
      </c>
      <c r="C41" s="3"/>
      <c r="D41" s="3"/>
      <c r="E41" s="3">
        <f>SUMIF(Table449142345[Category],"Gas",Table449142345[Amount])</f>
        <v>0</v>
      </c>
      <c r="F41" s="84"/>
      <c r="G41" s="78"/>
      <c r="H41" s="79"/>
      <c r="I41" s="76"/>
      <c r="K41" s="77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</row>
    <row r="42" spans="1:26" x14ac:dyDescent="0.2">
      <c r="A42" s="1"/>
      <c r="B42" s="46" t="s">
        <v>68</v>
      </c>
      <c r="C42" s="116"/>
      <c r="D42" s="116"/>
      <c r="E42" s="3">
        <f>SUMIF(Table449142345[Category],"Insurance",Table449142345[Amount])</f>
        <v>0</v>
      </c>
      <c r="F42" s="84"/>
      <c r="G42" s="78"/>
      <c r="H42" s="79"/>
      <c r="J42" s="76"/>
      <c r="K42" s="77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</row>
    <row r="43" spans="1:26" x14ac:dyDescent="0.2">
      <c r="A43" s="18"/>
      <c r="B43" s="46" t="s">
        <v>83</v>
      </c>
      <c r="C43" s="116"/>
      <c r="D43" s="116"/>
      <c r="E43" s="3">
        <f>SUMIF(Table449142345[Category],"Maintenance",Table449142345[Amount])</f>
        <v>0</v>
      </c>
      <c r="F43" s="84"/>
      <c r="G43" s="78"/>
      <c r="H43" s="79"/>
      <c r="I43" s="76"/>
      <c r="J43" s="76"/>
      <c r="K43" s="77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</row>
    <row r="44" spans="1:26" x14ac:dyDescent="0.2">
      <c r="A44" s="43"/>
      <c r="B44" s="46" t="s">
        <v>69</v>
      </c>
      <c r="C44" s="116"/>
      <c r="D44" s="116"/>
      <c r="E44" s="3">
        <f>SUMIF(Table449142345[Category],"Parking",Table449142345[Amount])</f>
        <v>0</v>
      </c>
      <c r="F44" s="84"/>
      <c r="G44" s="78"/>
      <c r="H44" s="79"/>
      <c r="I44" s="76"/>
      <c r="J44" s="76"/>
      <c r="K44" s="77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</row>
    <row r="45" spans="1:26" x14ac:dyDescent="0.2">
      <c r="A45" s="78"/>
      <c r="B45" s="46" t="s">
        <v>40</v>
      </c>
      <c r="C45" s="116"/>
      <c r="D45" s="116"/>
      <c r="E45" s="3">
        <f>SUMIF(Table449142345[Category],"Uber",Table449142345[Amount])</f>
        <v>0</v>
      </c>
      <c r="F45" s="84"/>
      <c r="G45" s="78"/>
      <c r="H45" s="79"/>
      <c r="I45" s="76"/>
      <c r="J45" s="76"/>
      <c r="K45" s="77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</row>
    <row r="46" spans="1:26" x14ac:dyDescent="0.2">
      <c r="A46" s="1"/>
      <c r="B46" s="81" t="s">
        <v>70</v>
      </c>
      <c r="C46" s="116"/>
      <c r="D46" s="94">
        <f>SUM(E47:E48)</f>
        <v>0</v>
      </c>
      <c r="E46" s="3"/>
      <c r="F46" s="87">
        <f>SUM(F47:F48)</f>
        <v>0</v>
      </c>
      <c r="G46" s="78"/>
      <c r="H46" s="79"/>
      <c r="I46" s="76"/>
      <c r="J46" s="76"/>
      <c r="K46" s="77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</row>
    <row r="47" spans="1:26" x14ac:dyDescent="0.2">
      <c r="A47" s="1"/>
      <c r="B47" s="46" t="s">
        <v>44</v>
      </c>
      <c r="C47" s="116"/>
      <c r="D47" s="116"/>
      <c r="E47" s="3">
        <f>SUMIF(Table449142345[Category],"Tuition",Table449142345[Amount])</f>
        <v>0</v>
      </c>
      <c r="F47" s="84"/>
      <c r="G47" s="78"/>
      <c r="H47" s="79"/>
      <c r="I47" s="76"/>
      <c r="J47" s="76"/>
      <c r="K47" s="77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</row>
    <row r="48" spans="1:26" x14ac:dyDescent="0.2">
      <c r="A48" s="1"/>
      <c r="B48" s="46" t="s">
        <v>71</v>
      </c>
      <c r="C48" s="116"/>
      <c r="D48" s="116"/>
      <c r="E48" s="3">
        <f>SUMIF(Table449142345[Category],"Books",Table449142345[Amount])</f>
        <v>0</v>
      </c>
      <c r="F48" s="84"/>
      <c r="G48" s="78"/>
      <c r="H48" s="79"/>
      <c r="I48" s="76"/>
      <c r="J48" s="76"/>
      <c r="K48" s="77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</row>
    <row r="49" spans="1:26" x14ac:dyDescent="0.2">
      <c r="A49" s="1"/>
      <c r="B49" s="46"/>
      <c r="C49" s="116"/>
      <c r="D49" s="116"/>
      <c r="E49" s="3"/>
      <c r="F49" s="84"/>
      <c r="G49" s="78"/>
      <c r="H49" s="79"/>
      <c r="I49" s="76"/>
      <c r="J49" s="76"/>
      <c r="K49" s="77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</row>
    <row r="50" spans="1:26" x14ac:dyDescent="0.2">
      <c r="A50" s="1"/>
      <c r="B50" s="46"/>
      <c r="C50" s="116"/>
      <c r="D50" s="116"/>
      <c r="E50" s="3"/>
      <c r="F50" s="84"/>
      <c r="G50" s="78"/>
      <c r="H50" s="79"/>
      <c r="I50" s="76"/>
      <c r="J50" s="76"/>
      <c r="K50" s="77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</row>
    <row r="51" spans="1:26" x14ac:dyDescent="0.2">
      <c r="A51" s="1"/>
      <c r="B51" s="50" t="s">
        <v>121</v>
      </c>
      <c r="C51" s="73" t="e">
        <f>(D52+D55+D60)/(E81+E62)</f>
        <v>#DIV/0!</v>
      </c>
      <c r="D51" s="116"/>
      <c r="E51" s="3"/>
      <c r="F51" s="84"/>
      <c r="G51" s="78"/>
      <c r="H51" s="79"/>
      <c r="I51" s="76"/>
      <c r="J51" s="76"/>
      <c r="K51" s="77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</row>
    <row r="52" spans="1:26" x14ac:dyDescent="0.2">
      <c r="A52" s="1"/>
      <c r="B52" s="81" t="s">
        <v>41</v>
      </c>
      <c r="C52" s="116"/>
      <c r="D52" s="94">
        <f>SUM(E53:E54)</f>
        <v>0</v>
      </c>
      <c r="E52" s="3"/>
      <c r="F52" s="87">
        <f>SUM(F53:F54)</f>
        <v>0</v>
      </c>
      <c r="G52" s="78"/>
      <c r="H52" s="79"/>
      <c r="I52" s="76"/>
      <c r="J52" s="76"/>
      <c r="K52" s="77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</row>
    <row r="53" spans="1:26" x14ac:dyDescent="0.2">
      <c r="A53" s="1"/>
      <c r="B53" s="46" t="s">
        <v>72</v>
      </c>
      <c r="C53" s="116"/>
      <c r="D53" s="116"/>
      <c r="E53" s="3">
        <f>SUMIF(Table449142345[Category],"Subscription",Table449142345[Amount])</f>
        <v>0</v>
      </c>
      <c r="F53" s="84"/>
      <c r="G53" s="78"/>
      <c r="H53" s="79"/>
      <c r="I53" s="76"/>
      <c r="J53" s="76"/>
      <c r="K53" s="77"/>
      <c r="L53" s="78"/>
      <c r="M53" s="86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</row>
    <row r="54" spans="1:26" x14ac:dyDescent="0.2">
      <c r="A54" s="1"/>
      <c r="B54" s="46" t="s">
        <v>84</v>
      </c>
      <c r="C54" s="116"/>
      <c r="D54" s="116"/>
      <c r="E54" s="3">
        <f>SUMIF(Table449142345[Category],"Events",Table449142345[Amount])</f>
        <v>0</v>
      </c>
      <c r="F54" s="84"/>
      <c r="G54" s="78"/>
      <c r="H54" s="79"/>
      <c r="I54" s="76"/>
      <c r="J54" s="76"/>
      <c r="K54" s="77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</row>
    <row r="55" spans="1:26" x14ac:dyDescent="0.2">
      <c r="A55" s="1"/>
      <c r="B55" s="81" t="s">
        <v>73</v>
      </c>
      <c r="C55" s="116"/>
      <c r="D55" s="94">
        <f>SUM(E56:E59)</f>
        <v>0</v>
      </c>
      <c r="E55" s="3"/>
      <c r="F55" s="87">
        <f>SUM(F56:F59)</f>
        <v>0</v>
      </c>
      <c r="G55" s="78"/>
      <c r="H55" s="79"/>
      <c r="I55" s="76"/>
      <c r="J55" s="76"/>
      <c r="K55" s="77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</row>
    <row r="56" spans="1:26" x14ac:dyDescent="0.2">
      <c r="A56" s="1"/>
      <c r="B56" s="46" t="s">
        <v>74</v>
      </c>
      <c r="C56" s="116"/>
      <c r="D56" s="116"/>
      <c r="E56" s="3">
        <f>SUMIF(Table449142345[Category],"Clothes",Table449142345[Amount])</f>
        <v>0</v>
      </c>
      <c r="F56" s="84"/>
      <c r="G56" s="78"/>
      <c r="H56" s="79"/>
      <c r="I56" s="76"/>
      <c r="J56" s="76"/>
      <c r="K56" s="77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</row>
    <row r="57" spans="1:26" ht="17" thickBot="1" x14ac:dyDescent="0.25">
      <c r="A57" s="1"/>
      <c r="B57" s="46" t="s">
        <v>75</v>
      </c>
      <c r="C57" s="116"/>
      <c r="D57" s="116"/>
      <c r="E57" s="3">
        <f>SUMIF(Table449142345[Category],"Accessories",Table449142345[Amount])</f>
        <v>0</v>
      </c>
      <c r="F57" s="84"/>
      <c r="G57" s="78"/>
      <c r="H57" s="12" t="s">
        <v>150</v>
      </c>
      <c r="I57" s="9"/>
      <c r="J57" s="9"/>
      <c r="K57" s="10">
        <f>SUM(K22:K56)</f>
        <v>0</v>
      </c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</row>
    <row r="58" spans="1:26" x14ac:dyDescent="0.2">
      <c r="A58" s="1"/>
      <c r="B58" s="46" t="s">
        <v>76</v>
      </c>
      <c r="C58" s="116"/>
      <c r="D58" s="116"/>
      <c r="E58" s="3">
        <f>SUMIF(Table449142345[Category],"Gifts",Table449142345[Amount])</f>
        <v>0</v>
      </c>
      <c r="F58" s="84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</row>
    <row r="59" spans="1:26" ht="16" thickBot="1" x14ac:dyDescent="0.25">
      <c r="A59" s="78"/>
      <c r="B59" s="46" t="s">
        <v>81</v>
      </c>
      <c r="C59" s="116"/>
      <c r="D59" s="116"/>
      <c r="E59" s="3">
        <f>SUMIF(Table449142345[Category],"Cosmetics",Table449142345[Amount])</f>
        <v>0</v>
      </c>
      <c r="F59" s="84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</row>
    <row r="60" spans="1:26" x14ac:dyDescent="0.2">
      <c r="A60" s="78"/>
      <c r="B60" s="81" t="s">
        <v>77</v>
      </c>
      <c r="C60" s="116"/>
      <c r="D60" s="94">
        <f>SUMIF(Table449142345[Category],"Hobbies",Table449142345[Amount])</f>
        <v>0</v>
      </c>
      <c r="E60" s="3"/>
      <c r="F60" s="87">
        <v>0</v>
      </c>
      <c r="G60" s="78"/>
      <c r="H60" s="145" t="s">
        <v>103</v>
      </c>
      <c r="I60" s="146"/>
      <c r="J60" s="146"/>
      <c r="K60" s="147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</row>
    <row r="61" spans="1:26" x14ac:dyDescent="0.2">
      <c r="A61" s="78"/>
      <c r="B61" s="81"/>
      <c r="C61" s="116"/>
      <c r="D61" s="74"/>
      <c r="E61" s="3"/>
      <c r="F61" s="84"/>
      <c r="G61" s="78"/>
      <c r="H61" s="190"/>
      <c r="I61" s="149"/>
      <c r="J61" s="149"/>
      <c r="K61" s="150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</row>
    <row r="62" spans="1:26" ht="16" thickBot="1" x14ac:dyDescent="0.25">
      <c r="A62" s="78"/>
      <c r="B62" s="83" t="s">
        <v>4</v>
      </c>
      <c r="C62" s="82"/>
      <c r="D62" s="82"/>
      <c r="E62" s="90">
        <f>SUM(D31,D34,D40,D46,D52,D55,D60)</f>
        <v>0</v>
      </c>
      <c r="F62" s="85">
        <f>SUM(F31,F34,F40,F46,F52,F55,F60)</f>
        <v>0</v>
      </c>
      <c r="G62" s="78"/>
      <c r="H62" s="190"/>
      <c r="I62" s="149"/>
      <c r="J62" s="149"/>
      <c r="K62" s="150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</row>
    <row r="63" spans="1:26" x14ac:dyDescent="0.2">
      <c r="A63" s="78"/>
      <c r="B63" s="100"/>
      <c r="C63" s="101"/>
      <c r="D63" s="101"/>
      <c r="E63" s="102"/>
      <c r="F63" s="84"/>
      <c r="G63" s="78"/>
      <c r="H63" s="144"/>
      <c r="I63" s="149"/>
      <c r="J63" s="149"/>
      <c r="K63" s="150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</row>
    <row r="64" spans="1:26" x14ac:dyDescent="0.2">
      <c r="A64" s="78"/>
      <c r="B64" s="103" t="s">
        <v>85</v>
      </c>
      <c r="C64" s="104" t="e">
        <f>(D65)/(E81+E62)</f>
        <v>#DIV/0!</v>
      </c>
      <c r="D64" s="101"/>
      <c r="E64" s="102"/>
      <c r="F64" s="84"/>
      <c r="G64" s="78"/>
      <c r="H64" s="144"/>
      <c r="I64" s="149"/>
      <c r="J64" s="149"/>
      <c r="K64" s="150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</row>
    <row r="65" spans="1:26" x14ac:dyDescent="0.2">
      <c r="A65" s="78"/>
      <c r="B65" s="105" t="s">
        <v>94</v>
      </c>
      <c r="C65" s="101"/>
      <c r="D65" s="106">
        <f>SUM(E66:E68)</f>
        <v>0</v>
      </c>
      <c r="E65" s="102"/>
      <c r="F65" s="87">
        <f>SUM(F66:F68)</f>
        <v>0</v>
      </c>
      <c r="G65" s="78"/>
      <c r="H65" s="144"/>
      <c r="I65" s="149"/>
      <c r="J65" s="149"/>
      <c r="K65" s="150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</row>
    <row r="66" spans="1:26" x14ac:dyDescent="0.2">
      <c r="A66" s="78"/>
      <c r="B66" s="107" t="s">
        <v>88</v>
      </c>
      <c r="C66" s="101"/>
      <c r="D66" s="101"/>
      <c r="E66" s="102">
        <f>SUMIF(Table449142345[Category],"Emergency Fund",Table449142345[Amount])</f>
        <v>0</v>
      </c>
      <c r="F66" s="84"/>
      <c r="G66" s="78"/>
      <c r="H66" s="144"/>
      <c r="I66" s="149"/>
      <c r="J66" s="149"/>
      <c r="K66" s="150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</row>
    <row r="67" spans="1:26" x14ac:dyDescent="0.2">
      <c r="A67" s="78"/>
      <c r="B67" s="107" t="s">
        <v>55</v>
      </c>
      <c r="C67" s="101"/>
      <c r="D67" s="101"/>
      <c r="E67" s="102">
        <f>SUMIF(Table449142345[Category],"Retirement",Table449142345[Amount])</f>
        <v>0</v>
      </c>
      <c r="F67" s="84"/>
      <c r="G67" s="78"/>
      <c r="H67" s="144"/>
      <c r="I67" s="149"/>
      <c r="J67" s="149"/>
      <c r="K67" s="150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</row>
    <row r="68" spans="1:26" ht="14.25" customHeight="1" x14ac:dyDescent="0.2">
      <c r="A68" s="78"/>
      <c r="B68" s="107" t="s">
        <v>53</v>
      </c>
      <c r="C68" s="101"/>
      <c r="D68" s="101"/>
      <c r="E68" s="102">
        <f>SUMIF(Table449142345[Category],"Investment",Table449142345[Amount])</f>
        <v>0</v>
      </c>
      <c r="F68" s="84"/>
      <c r="G68" s="78"/>
      <c r="H68" s="144"/>
      <c r="I68" s="149"/>
      <c r="J68" s="149"/>
      <c r="K68" s="150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</row>
    <row r="69" spans="1:26" x14ac:dyDescent="0.2">
      <c r="A69" s="78"/>
      <c r="B69" s="100"/>
      <c r="C69" s="101"/>
      <c r="D69" s="101"/>
      <c r="E69" s="102"/>
      <c r="F69" s="84"/>
      <c r="G69" s="78"/>
      <c r="H69" s="144"/>
      <c r="I69" s="149"/>
      <c r="J69" s="149"/>
      <c r="K69" s="150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</row>
    <row r="70" spans="1:26" x14ac:dyDescent="0.2">
      <c r="A70" s="78"/>
      <c r="B70" s="103" t="s">
        <v>86</v>
      </c>
      <c r="C70" s="104" t="e">
        <f>D71/(E81+E62)</f>
        <v>#DIV/0!</v>
      </c>
      <c r="D70" s="101"/>
      <c r="E70" s="102"/>
      <c r="F70" s="84"/>
      <c r="G70" s="78"/>
      <c r="H70" s="144"/>
      <c r="I70" s="149"/>
      <c r="J70" s="149"/>
      <c r="K70" s="150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</row>
    <row r="71" spans="1:26" x14ac:dyDescent="0.2">
      <c r="A71" s="52"/>
      <c r="B71" s="105" t="s">
        <v>95</v>
      </c>
      <c r="C71" s="108"/>
      <c r="D71" s="106">
        <f>SUM(E72:E73)</f>
        <v>0</v>
      </c>
      <c r="E71" s="109"/>
      <c r="F71" s="87">
        <f>SUM(F72:F73)</f>
        <v>0</v>
      </c>
      <c r="G71" s="78"/>
      <c r="H71" s="144"/>
      <c r="I71" s="149"/>
      <c r="J71" s="149"/>
      <c r="K71" s="150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</row>
    <row r="72" spans="1:26" x14ac:dyDescent="0.2">
      <c r="A72" s="78"/>
      <c r="B72" s="110" t="s">
        <v>43</v>
      </c>
      <c r="C72" s="101"/>
      <c r="D72" s="101"/>
      <c r="E72" s="102">
        <f>SUMIF(Table449142345[Category],"Donations",Table449142345[Amount])</f>
        <v>0</v>
      </c>
      <c r="F72" s="84"/>
      <c r="G72" s="78"/>
      <c r="H72" s="144"/>
      <c r="I72" s="149"/>
      <c r="J72" s="149"/>
      <c r="K72" s="150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</row>
    <row r="73" spans="1:26" x14ac:dyDescent="0.2">
      <c r="A73" s="78"/>
      <c r="B73" s="110" t="s">
        <v>90</v>
      </c>
      <c r="C73" s="101"/>
      <c r="D73" s="101"/>
      <c r="E73" s="102">
        <f>SUMIF(Table449142345[Category],"Offering",Table449142345[Amount])</f>
        <v>0</v>
      </c>
      <c r="F73" s="84"/>
      <c r="G73" s="78"/>
      <c r="H73" s="144"/>
      <c r="I73" s="149"/>
      <c r="J73" s="149"/>
      <c r="K73" s="150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</row>
    <row r="74" spans="1:26" x14ac:dyDescent="0.2">
      <c r="A74" s="78"/>
      <c r="B74" s="110"/>
      <c r="C74" s="101"/>
      <c r="D74" s="101"/>
      <c r="E74" s="102"/>
      <c r="F74" s="84"/>
      <c r="G74" s="78"/>
      <c r="H74" s="144"/>
      <c r="I74" s="149"/>
      <c r="J74" s="149"/>
      <c r="K74" s="150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</row>
    <row r="75" spans="1:26" x14ac:dyDescent="0.2">
      <c r="A75" s="78"/>
      <c r="B75" s="111" t="s">
        <v>89</v>
      </c>
      <c r="C75" s="104" t="e">
        <f>D76/(E81+E62)</f>
        <v>#DIV/0!</v>
      </c>
      <c r="D75" s="101"/>
      <c r="E75" s="102"/>
      <c r="F75" s="84"/>
      <c r="G75" s="78"/>
      <c r="H75" s="144"/>
      <c r="I75" s="149"/>
      <c r="J75" s="149"/>
      <c r="K75" s="150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</row>
    <row r="76" spans="1:26" x14ac:dyDescent="0.2">
      <c r="A76" s="78"/>
      <c r="B76" s="112" t="s">
        <v>104</v>
      </c>
      <c r="C76" s="101"/>
      <c r="D76" s="106">
        <f>SUM(E77:E79)</f>
        <v>0</v>
      </c>
      <c r="E76" s="102"/>
      <c r="F76" s="87">
        <f>SUM(F77:F79)</f>
        <v>0</v>
      </c>
      <c r="G76" s="78"/>
      <c r="H76" s="144"/>
      <c r="I76" s="149"/>
      <c r="J76" s="149"/>
      <c r="K76" s="150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</row>
    <row r="77" spans="1:26" x14ac:dyDescent="0.2">
      <c r="A77" s="78"/>
      <c r="B77" s="110" t="s">
        <v>92</v>
      </c>
      <c r="C77" s="101"/>
      <c r="D77" s="101"/>
      <c r="E77" s="102">
        <f>SUMIF(Table449142345[Category],"Student Loan",Table449142345[Amount])</f>
        <v>0</v>
      </c>
      <c r="F77" s="84"/>
      <c r="G77" s="78"/>
      <c r="H77" s="144"/>
      <c r="I77" s="149"/>
      <c r="J77" s="149"/>
      <c r="K77" s="150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</row>
    <row r="78" spans="1:26" x14ac:dyDescent="0.2">
      <c r="A78" s="78"/>
      <c r="B78" s="107" t="s">
        <v>91</v>
      </c>
      <c r="C78" s="101"/>
      <c r="D78" s="101"/>
      <c r="E78" s="102">
        <f>SUMIF(Table449142345[Category],"Credit Card",Table449142345[Amount])</f>
        <v>0</v>
      </c>
      <c r="F78" s="84"/>
      <c r="G78" s="78"/>
      <c r="H78" s="144"/>
      <c r="I78" s="149"/>
      <c r="J78" s="149"/>
      <c r="K78" s="150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</row>
    <row r="79" spans="1:26" x14ac:dyDescent="0.2">
      <c r="A79" s="78"/>
      <c r="B79" s="110" t="s">
        <v>93</v>
      </c>
      <c r="C79" s="101"/>
      <c r="D79" s="101"/>
      <c r="E79" s="102">
        <f>SUMIF(Table449142345[Category],"Car",Table449142345[Amount])</f>
        <v>0</v>
      </c>
      <c r="F79" s="84"/>
      <c r="G79" s="1"/>
      <c r="H79" s="144"/>
      <c r="I79" s="149"/>
      <c r="J79" s="149"/>
      <c r="K79" s="150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</row>
    <row r="80" spans="1:26" s="54" customFormat="1" x14ac:dyDescent="0.2">
      <c r="A80" s="78"/>
      <c r="B80" s="111"/>
      <c r="C80" s="101"/>
      <c r="D80" s="101"/>
      <c r="E80" s="102"/>
      <c r="F80" s="84"/>
      <c r="G80" s="53"/>
      <c r="H80" s="148"/>
      <c r="I80" s="151"/>
      <c r="J80" s="151"/>
      <c r="K80" s="1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spans="1:26" ht="16" thickBot="1" x14ac:dyDescent="0.25">
      <c r="A81" s="78"/>
      <c r="B81" s="113" t="s">
        <v>35</v>
      </c>
      <c r="C81" s="114"/>
      <c r="D81" s="114"/>
      <c r="E81" s="115">
        <f>SUM(D65,D76,D71)</f>
        <v>0</v>
      </c>
      <c r="F81" s="85">
        <f>SUM(F65,F71,F76)</f>
        <v>0</v>
      </c>
      <c r="G81" s="1"/>
      <c r="H81" s="153"/>
      <c r="I81" s="154"/>
      <c r="J81" s="154"/>
      <c r="K81" s="155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</row>
    <row r="82" spans="1:26" x14ac:dyDescent="0.2">
      <c r="A82" s="78"/>
      <c r="B82" s="78"/>
      <c r="C82" s="78"/>
      <c r="D82" s="78"/>
      <c r="E82" s="78"/>
      <c r="F82" s="78"/>
      <c r="G82" s="1"/>
      <c r="H82" s="1"/>
      <c r="I82" s="1"/>
      <c r="J82" s="1"/>
      <c r="K82" s="1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</row>
    <row r="83" spans="1:26" ht="16" thickBot="1" x14ac:dyDescent="0.25">
      <c r="A83" s="78"/>
      <c r="B83" s="78"/>
      <c r="C83" s="78"/>
      <c r="D83" s="78"/>
      <c r="E83" s="78"/>
      <c r="F83" s="78"/>
      <c r="G83" s="1"/>
      <c r="H83" s="1"/>
      <c r="I83" s="1"/>
      <c r="J83" s="1"/>
      <c r="K83" s="1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</row>
    <row r="84" spans="1:26" x14ac:dyDescent="0.2">
      <c r="A84" s="78"/>
      <c r="B84" s="195" t="str">
        <f>B30</f>
        <v>LIVING EXPENSES</v>
      </c>
      <c r="C84" s="196" t="e">
        <f>C30</f>
        <v>#DIV/0!</v>
      </c>
      <c r="D84" s="78"/>
      <c r="E84" s="78"/>
      <c r="F84" s="78"/>
      <c r="G84" s="78"/>
      <c r="H84" s="1"/>
      <c r="I84" s="1"/>
      <c r="J84" s="1"/>
      <c r="K84" s="1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</row>
    <row r="85" spans="1:26" x14ac:dyDescent="0.2">
      <c r="A85" s="78"/>
      <c r="B85" s="144" t="str">
        <f>B51</f>
        <v>INDULGENCE EXPENSES</v>
      </c>
      <c r="C85" s="197" t="e">
        <f>C51</f>
        <v>#DIV/0!</v>
      </c>
      <c r="D85" s="78"/>
      <c r="E85" s="78"/>
      <c r="F85" s="78"/>
      <c r="G85" s="78"/>
      <c r="H85" s="1"/>
      <c r="I85" s="1"/>
      <c r="J85" s="1"/>
      <c r="K85" s="1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</row>
    <row r="86" spans="1:26" x14ac:dyDescent="0.2">
      <c r="A86" s="78"/>
      <c r="B86" s="144" t="str">
        <f>B64</f>
        <v>SAVINGS</v>
      </c>
      <c r="C86" s="197" t="e">
        <f>C64</f>
        <v>#DIV/0!</v>
      </c>
      <c r="D86" s="78"/>
      <c r="E86" s="78"/>
      <c r="F86" s="78"/>
      <c r="G86" s="78"/>
      <c r="H86" s="1"/>
      <c r="I86" s="1"/>
      <c r="J86" s="1"/>
      <c r="K86" s="1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</row>
    <row r="87" spans="1:26" x14ac:dyDescent="0.2">
      <c r="A87" s="78"/>
      <c r="B87" s="144" t="str">
        <f>B70</f>
        <v>TITHINGS</v>
      </c>
      <c r="C87" s="197" t="e">
        <f>C70</f>
        <v>#DIV/0!</v>
      </c>
      <c r="D87" s="78"/>
      <c r="E87" s="78"/>
      <c r="F87" s="78"/>
      <c r="G87" s="78"/>
      <c r="H87" s="1"/>
      <c r="I87" s="1"/>
      <c r="J87" s="1"/>
      <c r="K87" s="1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</row>
    <row r="88" spans="1:26" ht="16" thickBot="1" x14ac:dyDescent="0.25">
      <c r="A88" s="78"/>
      <c r="B88" s="153" t="str">
        <f>B75</f>
        <v>DEBT REPAYMENT</v>
      </c>
      <c r="C88" s="198" t="e">
        <f>C75</f>
        <v>#DIV/0!</v>
      </c>
      <c r="D88" s="78"/>
      <c r="E88" s="78"/>
      <c r="F88" s="78"/>
      <c r="G88" s="78"/>
      <c r="H88" s="1"/>
      <c r="I88" s="1"/>
      <c r="J88" s="1"/>
      <c r="K88" s="1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</row>
    <row r="89" spans="1:26" x14ac:dyDescent="0.2">
      <c r="A89" s="78"/>
      <c r="B89" s="78"/>
      <c r="C89" s="78"/>
      <c r="D89" s="78"/>
      <c r="E89" s="78"/>
      <c r="F89" s="78"/>
      <c r="G89" s="78"/>
      <c r="H89" s="1"/>
      <c r="I89" s="1"/>
      <c r="J89" s="1"/>
      <c r="K89" s="1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</row>
    <row r="90" spans="1:26" x14ac:dyDescent="0.2">
      <c r="A90" s="78"/>
      <c r="B90" s="78"/>
      <c r="C90" s="78"/>
      <c r="D90" s="78"/>
      <c r="E90" s="78"/>
      <c r="F90" s="78"/>
      <c r="G90" s="78"/>
      <c r="H90" s="1"/>
      <c r="I90" s="1"/>
      <c r="J90" s="1"/>
      <c r="K90" s="1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</row>
    <row r="91" spans="1:26" x14ac:dyDescent="0.2">
      <c r="A91" s="78"/>
      <c r="B91" s="78"/>
      <c r="C91" s="78"/>
      <c r="D91" s="78"/>
      <c r="E91" s="78"/>
      <c r="F91" s="78"/>
      <c r="G91" s="78"/>
      <c r="H91" s="1"/>
      <c r="I91" s="1"/>
      <c r="J91" s="1"/>
      <c r="K91" s="1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</row>
    <row r="92" spans="1:26" x14ac:dyDescent="0.2">
      <c r="A92" s="78"/>
      <c r="B92" s="78"/>
      <c r="C92" s="78"/>
      <c r="D92" s="78"/>
      <c r="E92" s="78"/>
      <c r="F92" s="78"/>
      <c r="G92" s="78"/>
      <c r="H92" s="1"/>
      <c r="I92" s="1"/>
      <c r="J92" s="1"/>
      <c r="K92" s="1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</row>
    <row r="93" spans="1:26" x14ac:dyDescent="0.2">
      <c r="A93" s="78"/>
      <c r="B93" s="78"/>
      <c r="C93" s="78"/>
      <c r="D93" s="78"/>
      <c r="E93" s="78"/>
      <c r="F93" s="78"/>
      <c r="G93" s="78"/>
      <c r="H93" s="1"/>
      <c r="I93" s="1"/>
      <c r="J93" s="1"/>
      <c r="K93" s="1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</row>
    <row r="94" spans="1:26" x14ac:dyDescent="0.2">
      <c r="A94" s="78"/>
      <c r="B94" s="78"/>
      <c r="C94" s="78"/>
      <c r="D94" s="78"/>
      <c r="E94" s="78"/>
      <c r="F94" s="78"/>
      <c r="G94" s="78"/>
      <c r="H94" s="1"/>
      <c r="I94" s="1"/>
      <c r="J94" s="1"/>
      <c r="K94" s="1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</row>
    <row r="95" spans="1:26" x14ac:dyDescent="0.2">
      <c r="A95" s="78"/>
      <c r="B95" s="78"/>
      <c r="C95" s="78"/>
      <c r="D95" s="78"/>
      <c r="E95" s="78"/>
      <c r="F95" s="78"/>
      <c r="G95" s="78"/>
      <c r="H95" s="1"/>
      <c r="I95" s="1"/>
      <c r="J95" s="1"/>
      <c r="K95" s="1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</row>
    <row r="96" spans="1:26" x14ac:dyDescent="0.2">
      <c r="A96" s="78"/>
      <c r="B96" s="78"/>
      <c r="C96" s="78"/>
      <c r="D96" s="78"/>
      <c r="E96" s="78"/>
      <c r="F96" s="78"/>
      <c r="G96" s="1"/>
      <c r="H96" s="1"/>
      <c r="I96" s="1"/>
      <c r="J96" s="1"/>
      <c r="K96" s="1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</row>
    <row r="97" spans="1:26" x14ac:dyDescent="0.2">
      <c r="A97" s="78"/>
      <c r="B97" s="78"/>
      <c r="C97" s="78"/>
      <c r="D97" s="78"/>
      <c r="E97" s="78"/>
      <c r="F97" s="78"/>
      <c r="G97" s="1"/>
      <c r="H97" s="1"/>
      <c r="I97" s="1"/>
      <c r="J97" s="1"/>
      <c r="K97" s="1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</row>
    <row r="98" spans="1:26" x14ac:dyDescent="0.2">
      <c r="A98" s="78"/>
      <c r="B98" s="78"/>
      <c r="C98" s="78"/>
      <c r="D98" s="78"/>
      <c r="E98" s="78"/>
      <c r="F98" s="78"/>
      <c r="G98" s="1"/>
      <c r="H98" s="1"/>
      <c r="I98" s="1"/>
      <c r="J98" s="1"/>
      <c r="K98" s="1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</row>
    <row r="99" spans="1:26" x14ac:dyDescent="0.2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</row>
    <row r="100" spans="1:26" x14ac:dyDescent="0.2">
      <c r="A100" s="78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</row>
    <row r="101" spans="1:26" x14ac:dyDescent="0.2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</row>
    <row r="102" spans="1:26" x14ac:dyDescent="0.2">
      <c r="A102" s="78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</row>
    <row r="103" spans="1:26" x14ac:dyDescent="0.2">
      <c r="A103" s="78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</row>
    <row r="104" spans="1:26" x14ac:dyDescent="0.2">
      <c r="A104" s="78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</row>
    <row r="105" spans="1:26" x14ac:dyDescent="0.2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</row>
    <row r="106" spans="1:26" x14ac:dyDescent="0.2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</row>
    <row r="107" spans="1:26" x14ac:dyDescent="0.2">
      <c r="A107" s="78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</row>
    <row r="108" spans="1:26" x14ac:dyDescent="0.2">
      <c r="A108" s="78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</row>
  </sheetData>
  <mergeCells count="11">
    <mergeCell ref="D9:E9"/>
    <mergeCell ref="B2:I2"/>
    <mergeCell ref="B6:C6"/>
    <mergeCell ref="D6:F6"/>
    <mergeCell ref="D7:E7"/>
    <mergeCell ref="D8:E8"/>
    <mergeCell ref="D10:E10"/>
    <mergeCell ref="D12:E12"/>
    <mergeCell ref="D13:E13"/>
    <mergeCell ref="B15:F15"/>
    <mergeCell ref="H20:K20"/>
  </mergeCells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F958-F8B2-48ED-9BFD-BFCF5C972708}">
  <dimension ref="A1:Z108"/>
  <sheetViews>
    <sheetView workbookViewId="0"/>
  </sheetViews>
  <sheetFormatPr baseColWidth="10" defaultColWidth="9.1640625" defaultRowHeight="15" x14ac:dyDescent="0.2"/>
  <cols>
    <col min="1" max="1" width="10.6640625" style="75" customWidth="1"/>
    <col min="2" max="2" width="21.1640625" style="75" customWidth="1"/>
    <col min="3" max="6" width="10.6640625" style="75" customWidth="1"/>
    <col min="7" max="7" width="11" style="75" customWidth="1"/>
    <col min="8" max="8" width="12.6640625" style="75" customWidth="1"/>
    <col min="9" max="9" width="31.5" style="75" customWidth="1"/>
    <col min="10" max="10" width="15.6640625" style="75" customWidth="1"/>
    <col min="11" max="11" width="11.6640625" style="75" customWidth="1"/>
    <col min="12" max="13" width="9.1640625" style="75"/>
    <col min="14" max="19" width="10.6640625" style="75" customWidth="1"/>
    <col min="20" max="16384" width="9.1640625" style="75"/>
  </cols>
  <sheetData>
    <row r="1" spans="1:26" ht="16" thickBo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ht="20" thickBot="1" x14ac:dyDescent="0.3">
      <c r="A2" s="78"/>
      <c r="B2" s="214" t="s">
        <v>149</v>
      </c>
      <c r="C2" s="215"/>
      <c r="D2" s="215"/>
      <c r="E2" s="215"/>
      <c r="F2" s="215"/>
      <c r="G2" s="215"/>
      <c r="H2" s="215"/>
      <c r="I2" s="216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26" x14ac:dyDescent="0.2">
      <c r="A3" s="78"/>
      <c r="B3" s="140" t="s">
        <v>59</v>
      </c>
      <c r="C3" s="141" t="s">
        <v>20</v>
      </c>
      <c r="D3" s="141" t="s">
        <v>52</v>
      </c>
      <c r="E3" s="141" t="s">
        <v>12</v>
      </c>
      <c r="F3" s="142" t="s">
        <v>54</v>
      </c>
      <c r="G3" s="142" t="s">
        <v>14</v>
      </c>
      <c r="H3" s="142" t="s">
        <v>60</v>
      </c>
      <c r="I3" s="143" t="s">
        <v>55</v>
      </c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26" ht="16" thickBot="1" x14ac:dyDescent="0.25">
      <c r="A4" s="78"/>
      <c r="B4" s="95">
        <v>0</v>
      </c>
      <c r="C4" s="96">
        <v>0</v>
      </c>
      <c r="D4" s="96">
        <v>0</v>
      </c>
      <c r="E4" s="96">
        <v>0</v>
      </c>
      <c r="F4" s="97">
        <v>0</v>
      </c>
      <c r="G4" s="98">
        <v>0</v>
      </c>
      <c r="H4" s="98">
        <v>0</v>
      </c>
      <c r="I4" s="99">
        <v>0</v>
      </c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26" ht="16" thickBot="1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spans="1:26" ht="19" x14ac:dyDescent="0.25">
      <c r="A6" s="78"/>
      <c r="B6" s="217" t="s">
        <v>147</v>
      </c>
      <c r="C6" s="218"/>
      <c r="D6" s="219" t="s">
        <v>148</v>
      </c>
      <c r="E6" s="220"/>
      <c r="F6" s="221"/>
      <c r="G6" s="78"/>
      <c r="H6" s="1"/>
      <c r="I6" s="1"/>
      <c r="J6" s="1"/>
      <c r="K6" s="1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pans="1:26" x14ac:dyDescent="0.2">
      <c r="A7" s="78"/>
      <c r="B7" s="117" t="s">
        <v>2</v>
      </c>
      <c r="C7" s="118">
        <v>0</v>
      </c>
      <c r="D7" s="222" t="str">
        <f t="shared" ref="D7:D13" si="0">B7</f>
        <v>Income</v>
      </c>
      <c r="E7" s="223"/>
      <c r="F7" s="119">
        <f>F27</f>
        <v>0</v>
      </c>
      <c r="G7" s="78"/>
      <c r="H7" s="1"/>
      <c r="I7" s="1"/>
      <c r="J7" s="1"/>
      <c r="K7" s="1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</row>
    <row r="8" spans="1:26" x14ac:dyDescent="0.2">
      <c r="A8" s="78"/>
      <c r="B8" s="120" t="s">
        <v>12</v>
      </c>
      <c r="C8" s="121">
        <f>SUM(F66:F68)</f>
        <v>0</v>
      </c>
      <c r="D8" s="228" t="str">
        <f t="shared" si="0"/>
        <v>Savings</v>
      </c>
      <c r="E8" s="229"/>
      <c r="F8" s="122">
        <f>D65</f>
        <v>0</v>
      </c>
      <c r="G8" s="78"/>
      <c r="H8" s="1"/>
      <c r="I8" s="1"/>
      <c r="J8" s="1"/>
      <c r="K8" s="1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</row>
    <row r="9" spans="1:26" x14ac:dyDescent="0.2">
      <c r="A9" s="78"/>
      <c r="B9" s="123" t="s">
        <v>120</v>
      </c>
      <c r="C9" s="124">
        <f>SUM(F72:F73)</f>
        <v>0</v>
      </c>
      <c r="D9" s="232" t="str">
        <f t="shared" si="0"/>
        <v>Tithing</v>
      </c>
      <c r="E9" s="232"/>
      <c r="F9" s="125">
        <f>D71</f>
        <v>0</v>
      </c>
      <c r="G9" s="78"/>
      <c r="H9" s="1"/>
      <c r="I9" s="1"/>
      <c r="J9" s="1"/>
      <c r="K9" s="1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</row>
    <row r="10" spans="1:26" x14ac:dyDescent="0.2">
      <c r="A10" s="78"/>
      <c r="B10" s="126" t="s">
        <v>14</v>
      </c>
      <c r="C10" s="127">
        <f>SUM(F77:F79)</f>
        <v>0</v>
      </c>
      <c r="D10" s="230" t="str">
        <f t="shared" si="0"/>
        <v>Debt</v>
      </c>
      <c r="E10" s="231"/>
      <c r="F10" s="128">
        <f>D76</f>
        <v>0</v>
      </c>
      <c r="G10" s="78"/>
      <c r="H10" s="1"/>
      <c r="I10" s="1"/>
      <c r="J10" s="1"/>
      <c r="K10" s="1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</row>
    <row r="11" spans="1:26" x14ac:dyDescent="0.2">
      <c r="A11" s="78"/>
      <c r="B11" s="129" t="s">
        <v>124</v>
      </c>
      <c r="C11" s="130">
        <f>C7-C8-C9-C10</f>
        <v>0</v>
      </c>
      <c r="D11" s="131" t="str">
        <f t="shared" si="0"/>
        <v>Budgeted</v>
      </c>
      <c r="E11" s="132"/>
      <c r="F11" s="133">
        <f>F7-F8-F9-F10</f>
        <v>0</v>
      </c>
      <c r="G11" s="78"/>
      <c r="H11" s="1"/>
      <c r="I11" s="1"/>
      <c r="J11" s="1"/>
      <c r="K11" s="1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</row>
    <row r="12" spans="1:26" x14ac:dyDescent="0.2">
      <c r="A12" s="78"/>
      <c r="B12" s="134" t="s">
        <v>0</v>
      </c>
      <c r="C12" s="135">
        <f>F62</f>
        <v>0</v>
      </c>
      <c r="D12" s="224" t="str">
        <f t="shared" si="0"/>
        <v>Expenses</v>
      </c>
      <c r="E12" s="225"/>
      <c r="F12" s="136">
        <f>E62</f>
        <v>0</v>
      </c>
      <c r="G12" s="78"/>
      <c r="H12" s="1"/>
      <c r="I12" s="1"/>
      <c r="J12" s="1"/>
      <c r="K12" s="1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</row>
    <row r="13" spans="1:26" ht="16" thickBot="1" x14ac:dyDescent="0.25">
      <c r="A13" s="78"/>
      <c r="B13" s="137" t="s">
        <v>123</v>
      </c>
      <c r="C13" s="138">
        <f>C11-C12</f>
        <v>0</v>
      </c>
      <c r="D13" s="226" t="str">
        <f t="shared" si="0"/>
        <v>Remaining</v>
      </c>
      <c r="E13" s="227"/>
      <c r="F13" s="139">
        <f>F11-F12</f>
        <v>0</v>
      </c>
      <c r="G13" s="78"/>
      <c r="H13" s="1"/>
      <c r="I13" s="1"/>
      <c r="J13" s="1"/>
      <c r="K13" s="1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</row>
    <row r="14" spans="1:26" ht="16" thickBot="1" x14ac:dyDescent="0.25">
      <c r="A14" s="78"/>
      <c r="B14" s="78"/>
      <c r="C14" s="78"/>
      <c r="D14" s="78"/>
      <c r="E14" s="78"/>
      <c r="F14" s="78"/>
      <c r="G14" s="78"/>
      <c r="H14" s="1"/>
      <c r="I14" s="1"/>
      <c r="J14" s="1"/>
      <c r="K14" s="1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</row>
    <row r="15" spans="1:26" ht="20" thickBot="1" x14ac:dyDescent="0.3">
      <c r="A15" s="78"/>
      <c r="B15" s="214" t="s">
        <v>146</v>
      </c>
      <c r="C15" s="215"/>
      <c r="D15" s="215"/>
      <c r="E15" s="215"/>
      <c r="F15" s="216"/>
      <c r="G15" s="78"/>
      <c r="H15" s="1"/>
      <c r="I15" s="1"/>
      <c r="J15" s="1"/>
      <c r="K15" s="1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</row>
    <row r="16" spans="1:26" ht="17" thickBot="1" x14ac:dyDescent="0.25">
      <c r="A16" s="78"/>
      <c r="B16" s="63" t="s">
        <v>2</v>
      </c>
      <c r="C16" s="64"/>
      <c r="D16" s="65"/>
      <c r="E16" s="65"/>
      <c r="F16" s="66"/>
      <c r="G16" s="78"/>
      <c r="H16" s="1"/>
      <c r="I16" s="1"/>
      <c r="J16" s="1"/>
      <c r="K16" s="1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</row>
    <row r="17" spans="1:26" x14ac:dyDescent="0.2">
      <c r="A17" s="78"/>
      <c r="B17" s="4"/>
      <c r="C17" s="2"/>
      <c r="D17" s="2"/>
      <c r="E17" s="2"/>
      <c r="F17" s="62"/>
      <c r="G17" s="78"/>
      <c r="H17" s="1"/>
      <c r="I17" s="1"/>
      <c r="J17" s="1"/>
      <c r="K17" s="1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</row>
    <row r="18" spans="1:26" x14ac:dyDescent="0.2">
      <c r="A18" s="78"/>
      <c r="B18" s="4"/>
      <c r="C18" s="2"/>
      <c r="D18" s="2"/>
      <c r="E18" s="2"/>
      <c r="F18" s="55"/>
      <c r="G18" s="78"/>
      <c r="H18" s="1"/>
      <c r="I18" s="1"/>
      <c r="J18" s="1"/>
      <c r="K18" s="1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</row>
    <row r="19" spans="1:26" ht="16" thickBot="1" x14ac:dyDescent="0.25">
      <c r="A19" s="78"/>
      <c r="B19" s="4"/>
      <c r="C19" s="2"/>
      <c r="D19" s="2"/>
      <c r="E19" s="2"/>
      <c r="F19" s="55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</row>
    <row r="20" spans="1:26" ht="20" thickBot="1" x14ac:dyDescent="0.3">
      <c r="A20" s="78"/>
      <c r="B20" s="4"/>
      <c r="C20" s="2"/>
      <c r="D20" s="2"/>
      <c r="E20" s="2"/>
      <c r="F20" s="55"/>
      <c r="G20" s="78"/>
      <c r="H20" s="214" t="s">
        <v>145</v>
      </c>
      <c r="I20" s="215"/>
      <c r="J20" s="215"/>
      <c r="K20" s="216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</row>
    <row r="21" spans="1:26" x14ac:dyDescent="0.2">
      <c r="A21" s="78"/>
      <c r="B21" s="4"/>
      <c r="C21" s="2"/>
      <c r="D21" s="2"/>
      <c r="E21" s="2"/>
      <c r="F21" s="55"/>
      <c r="G21" s="78"/>
      <c r="H21" s="76" t="s">
        <v>5</v>
      </c>
      <c r="I21" s="76" t="s">
        <v>7</v>
      </c>
      <c r="J21" s="76" t="s">
        <v>8</v>
      </c>
      <c r="K21" s="77" t="s">
        <v>6</v>
      </c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</row>
    <row r="22" spans="1:26" x14ac:dyDescent="0.2">
      <c r="A22" s="78"/>
      <c r="B22" s="4"/>
      <c r="C22" s="2"/>
      <c r="D22" s="2"/>
      <c r="E22" s="2"/>
      <c r="F22" s="55"/>
      <c r="G22" s="78"/>
      <c r="H22" s="79"/>
      <c r="I22" s="76"/>
      <c r="J22" s="76"/>
      <c r="K22" s="77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</row>
    <row r="23" spans="1:26" x14ac:dyDescent="0.2">
      <c r="A23" s="78"/>
      <c r="B23" s="4"/>
      <c r="C23" s="2"/>
      <c r="D23" s="2"/>
      <c r="E23" s="2"/>
      <c r="F23" s="55"/>
      <c r="G23" s="78"/>
      <c r="H23" s="79"/>
      <c r="I23" s="76"/>
      <c r="J23" s="76"/>
      <c r="K23" s="77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</row>
    <row r="24" spans="1:26" x14ac:dyDescent="0.2">
      <c r="A24" s="78"/>
      <c r="B24" s="4"/>
      <c r="C24" s="2"/>
      <c r="D24" s="2"/>
      <c r="E24" s="2"/>
      <c r="F24" s="55"/>
      <c r="G24" s="78"/>
      <c r="H24" s="79"/>
      <c r="I24" s="76"/>
      <c r="J24" s="76"/>
      <c r="K24" s="77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</row>
    <row r="25" spans="1:26" x14ac:dyDescent="0.2">
      <c r="A25" s="78"/>
      <c r="B25" s="4"/>
      <c r="C25" s="2"/>
      <c r="D25" s="2"/>
      <c r="E25" s="2"/>
      <c r="F25" s="55"/>
      <c r="G25" s="78"/>
      <c r="H25" s="79"/>
      <c r="I25" s="76"/>
      <c r="J25" s="76"/>
      <c r="K25" s="77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</row>
    <row r="26" spans="1:26" x14ac:dyDescent="0.2">
      <c r="A26" s="78"/>
      <c r="B26" s="5"/>
      <c r="C26" s="2"/>
      <c r="D26" s="2"/>
      <c r="E26" s="2"/>
      <c r="F26" s="56"/>
      <c r="G26" s="78"/>
      <c r="H26" s="79"/>
      <c r="I26" s="76"/>
      <c r="J26" s="76"/>
      <c r="K26" s="77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</row>
    <row r="27" spans="1:26" s="41" customFormat="1" ht="16" thickBot="1" x14ac:dyDescent="0.25">
      <c r="A27" s="78"/>
      <c r="B27" s="6" t="s">
        <v>3</v>
      </c>
      <c r="C27" s="7"/>
      <c r="D27" s="58"/>
      <c r="E27" s="58"/>
      <c r="F27" s="57">
        <f>SUM(F17:F26)</f>
        <v>0</v>
      </c>
      <c r="G27" s="78"/>
      <c r="H27" s="79"/>
      <c r="I27" s="76"/>
      <c r="J27" s="76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</row>
    <row r="28" spans="1:26" ht="16" thickBot="1" x14ac:dyDescent="0.25">
      <c r="A28" s="78"/>
      <c r="B28" s="59"/>
      <c r="C28" s="60"/>
      <c r="D28" s="60"/>
      <c r="E28" s="60"/>
      <c r="F28" s="61"/>
      <c r="G28" s="78"/>
      <c r="H28" s="79"/>
      <c r="I28" s="76"/>
      <c r="J28" s="76"/>
      <c r="K28" s="77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</row>
    <row r="29" spans="1:26" ht="17" thickBot="1" x14ac:dyDescent="0.25">
      <c r="A29" s="78"/>
      <c r="B29" s="51" t="s">
        <v>0</v>
      </c>
      <c r="C29" s="49"/>
      <c r="D29" s="49"/>
      <c r="E29" s="49"/>
      <c r="F29" s="68" t="s">
        <v>1</v>
      </c>
      <c r="G29" s="78"/>
      <c r="H29" s="79"/>
      <c r="I29" s="76"/>
      <c r="J29" s="76"/>
      <c r="K29" s="77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</row>
    <row r="30" spans="1:26" x14ac:dyDescent="0.2">
      <c r="A30" s="78"/>
      <c r="B30" s="67" t="s">
        <v>87</v>
      </c>
      <c r="C30" s="72" t="e">
        <f>(D31+D34+D40+D46)/(E81+E62)</f>
        <v>#DIV/0!</v>
      </c>
      <c r="D30" s="71"/>
      <c r="E30" s="89"/>
      <c r="F30" s="91"/>
      <c r="G30" s="78"/>
      <c r="H30" s="79"/>
      <c r="I30" s="76"/>
      <c r="J30" s="76"/>
      <c r="K30" s="77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</row>
    <row r="31" spans="1:26" x14ac:dyDescent="0.2">
      <c r="A31" s="78"/>
      <c r="B31" s="81" t="s">
        <v>37</v>
      </c>
      <c r="C31" s="3"/>
      <c r="D31" s="92">
        <f>SUM(E32:E33)</f>
        <v>0</v>
      </c>
      <c r="E31" s="3"/>
      <c r="F31" s="87">
        <f>SUM(F32:F33)</f>
        <v>0</v>
      </c>
      <c r="G31" s="78"/>
      <c r="H31" s="79"/>
      <c r="I31" s="76"/>
      <c r="J31" s="76"/>
      <c r="K31" s="77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</row>
    <row r="32" spans="1:26" x14ac:dyDescent="0.2">
      <c r="A32" s="78"/>
      <c r="B32" s="46" t="s">
        <v>62</v>
      </c>
      <c r="C32" s="3"/>
      <c r="D32" s="3"/>
      <c r="E32" s="3">
        <f>SUMIF(Table44914234517[Category],"Rent",Table44914234517[Amount])</f>
        <v>0</v>
      </c>
      <c r="F32" s="84"/>
      <c r="G32" s="78"/>
      <c r="H32" s="79"/>
      <c r="I32" s="76"/>
      <c r="J32" s="76"/>
      <c r="K32" s="77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</row>
    <row r="33" spans="1:26" x14ac:dyDescent="0.2">
      <c r="A33" s="78"/>
      <c r="B33" s="46" t="s">
        <v>38</v>
      </c>
      <c r="C33" s="3"/>
      <c r="D33" s="3"/>
      <c r="E33" s="3">
        <f>SUMIF(Table44914234517[Category],"Utilities",Table44914234517[Amount])</f>
        <v>0</v>
      </c>
      <c r="F33" s="84"/>
      <c r="G33" s="78"/>
      <c r="H33" s="79"/>
      <c r="I33" s="76"/>
      <c r="J33" s="76"/>
      <c r="K33" s="77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</row>
    <row r="34" spans="1:26" x14ac:dyDescent="0.2">
      <c r="A34" s="78"/>
      <c r="B34" s="47" t="s">
        <v>39</v>
      </c>
      <c r="C34" s="3"/>
      <c r="D34" s="92">
        <f>SUM(E35:E39)</f>
        <v>0</v>
      </c>
      <c r="E34" s="3"/>
      <c r="F34" s="87">
        <f>SUM(F35:F39)</f>
        <v>0</v>
      </c>
      <c r="G34" s="78"/>
      <c r="H34" s="79"/>
      <c r="I34" s="76"/>
      <c r="J34" s="76"/>
      <c r="K34" s="77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</row>
    <row r="35" spans="1:26" ht="15.75" customHeight="1" x14ac:dyDescent="0.2">
      <c r="A35" s="78"/>
      <c r="B35" s="46" t="s">
        <v>82</v>
      </c>
      <c r="C35" s="3"/>
      <c r="D35" s="3"/>
      <c r="E35" s="3">
        <f>SUMIF(Table44914234517[Category],"Restaurants",Table44914234517[Amount])</f>
        <v>0</v>
      </c>
      <c r="F35" s="84"/>
      <c r="G35" s="78"/>
      <c r="H35" s="79"/>
      <c r="I35" s="76"/>
      <c r="J35" s="76"/>
      <c r="K35" s="77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</row>
    <row r="36" spans="1:26" ht="14.25" customHeight="1" x14ac:dyDescent="0.2">
      <c r="A36" s="78"/>
      <c r="B36" s="46" t="s">
        <v>63</v>
      </c>
      <c r="C36" s="3"/>
      <c r="D36" s="3"/>
      <c r="E36" s="3">
        <f>SUMIF(Table44914234517[Category],"Fast Food",Table44914234517[Amount])</f>
        <v>0</v>
      </c>
      <c r="F36" s="84"/>
      <c r="G36" s="78"/>
      <c r="H36" s="79"/>
      <c r="I36" s="76"/>
      <c r="J36" s="76"/>
      <c r="K36" s="77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</row>
    <row r="37" spans="1:26" x14ac:dyDescent="0.2">
      <c r="A37" s="78"/>
      <c r="B37" s="46" t="s">
        <v>64</v>
      </c>
      <c r="C37" s="3"/>
      <c r="D37" s="3"/>
      <c r="E37" s="3">
        <f>SUMIF(Table44914234517[Category],"Groceries",Table44914234517[Amount])</f>
        <v>0</v>
      </c>
      <c r="F37" s="84"/>
      <c r="G37" s="78"/>
      <c r="H37" s="79"/>
      <c r="I37" s="76"/>
      <c r="J37" s="76"/>
      <c r="K37" s="77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</row>
    <row r="38" spans="1:26" x14ac:dyDescent="0.2">
      <c r="A38" s="78"/>
      <c r="B38" s="46" t="s">
        <v>65</v>
      </c>
      <c r="C38" s="3"/>
      <c r="D38" s="3"/>
      <c r="E38" s="3">
        <f>SUMIF(Table44914234517[Category],"Coffee",Table44914234517[Amount])</f>
        <v>0</v>
      </c>
      <c r="F38" s="84"/>
      <c r="G38" s="78"/>
      <c r="H38" s="79"/>
      <c r="I38" s="76"/>
      <c r="J38" s="76"/>
      <c r="K38" s="77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</row>
    <row r="39" spans="1:26" x14ac:dyDescent="0.2">
      <c r="A39" s="78"/>
      <c r="B39" s="46" t="s">
        <v>66</v>
      </c>
      <c r="C39" s="3"/>
      <c r="D39" s="3"/>
      <c r="E39" s="3">
        <f>SUMIF(Table44914234517[Category],"Bars",Table44914234517[Amount])</f>
        <v>0</v>
      </c>
      <c r="F39" s="84"/>
      <c r="G39" s="78"/>
      <c r="H39" s="79"/>
      <c r="I39" s="76"/>
      <c r="J39" s="76"/>
      <c r="K39" s="77"/>
      <c r="L39" s="78"/>
      <c r="M39" s="78"/>
      <c r="N39" s="37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spans="1:26" x14ac:dyDescent="0.2">
      <c r="A40" s="78"/>
      <c r="B40" s="48" t="s">
        <v>67</v>
      </c>
      <c r="C40" s="44"/>
      <c r="D40" s="93">
        <f>SUM(E41:E45)</f>
        <v>0</v>
      </c>
      <c r="E40" s="3"/>
      <c r="F40" s="88">
        <f>SUM(F41:F45)</f>
        <v>0</v>
      </c>
      <c r="G40" s="78"/>
      <c r="H40" s="79"/>
      <c r="I40" s="76"/>
      <c r="J40" s="76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spans="1:26" x14ac:dyDescent="0.2">
      <c r="A41" s="1"/>
      <c r="B41" s="46" t="s">
        <v>42</v>
      </c>
      <c r="C41" s="3"/>
      <c r="D41" s="3"/>
      <c r="E41" s="3">
        <f>SUMIF(Table44914234517[Category],"Gas",Table44914234517[Amount])</f>
        <v>0</v>
      </c>
      <c r="F41" s="84"/>
      <c r="G41" s="78"/>
      <c r="H41" s="79"/>
      <c r="I41" s="76"/>
      <c r="K41" s="77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</row>
    <row r="42" spans="1:26" x14ac:dyDescent="0.2">
      <c r="A42" s="1"/>
      <c r="B42" s="46" t="s">
        <v>68</v>
      </c>
      <c r="C42" s="116"/>
      <c r="D42" s="116"/>
      <c r="E42" s="3">
        <f>SUMIF(Table44914234517[Category],"Insurance",Table44914234517[Amount])</f>
        <v>0</v>
      </c>
      <c r="F42" s="84"/>
      <c r="G42" s="78"/>
      <c r="H42" s="79"/>
      <c r="J42" s="76"/>
      <c r="K42" s="77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</row>
    <row r="43" spans="1:26" x14ac:dyDescent="0.2">
      <c r="A43" s="18"/>
      <c r="B43" s="46" t="s">
        <v>83</v>
      </c>
      <c r="C43" s="116"/>
      <c r="D43" s="116"/>
      <c r="E43" s="3">
        <f>SUMIF(Table44914234517[Category],"Maintenance",Table44914234517[Amount])</f>
        <v>0</v>
      </c>
      <c r="F43" s="84"/>
      <c r="G43" s="78"/>
      <c r="H43" s="79"/>
      <c r="I43" s="76"/>
      <c r="J43" s="76"/>
      <c r="K43" s="77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</row>
    <row r="44" spans="1:26" x14ac:dyDescent="0.2">
      <c r="A44" s="43"/>
      <c r="B44" s="46" t="s">
        <v>69</v>
      </c>
      <c r="C44" s="116"/>
      <c r="D44" s="116"/>
      <c r="E44" s="3">
        <f>SUMIF(Table44914234517[Category],"Parking",Table44914234517[Amount])</f>
        <v>0</v>
      </c>
      <c r="F44" s="84"/>
      <c r="G44" s="78"/>
      <c r="H44" s="79"/>
      <c r="I44" s="76"/>
      <c r="J44" s="76"/>
      <c r="K44" s="77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</row>
    <row r="45" spans="1:26" x14ac:dyDescent="0.2">
      <c r="A45" s="78"/>
      <c r="B45" s="46" t="s">
        <v>40</v>
      </c>
      <c r="C45" s="116"/>
      <c r="D45" s="116"/>
      <c r="E45" s="3">
        <f>SUMIF(Table44914234517[Category],"Uber",Table44914234517[Amount])</f>
        <v>0</v>
      </c>
      <c r="F45" s="84"/>
      <c r="G45" s="78"/>
      <c r="H45" s="79"/>
      <c r="I45" s="76"/>
      <c r="J45" s="76"/>
      <c r="K45" s="77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</row>
    <row r="46" spans="1:26" x14ac:dyDescent="0.2">
      <c r="A46" s="1"/>
      <c r="B46" s="81" t="s">
        <v>70</v>
      </c>
      <c r="C46" s="116"/>
      <c r="D46" s="94">
        <f>SUM(E47:E48)</f>
        <v>0</v>
      </c>
      <c r="E46" s="3"/>
      <c r="F46" s="87">
        <f>SUM(F47:F48)</f>
        <v>0</v>
      </c>
      <c r="G46" s="78"/>
      <c r="H46" s="79"/>
      <c r="I46" s="76"/>
      <c r="J46" s="76"/>
      <c r="K46" s="77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</row>
    <row r="47" spans="1:26" x14ac:dyDescent="0.2">
      <c r="A47" s="1"/>
      <c r="B47" s="46" t="s">
        <v>44</v>
      </c>
      <c r="C47" s="116"/>
      <c r="D47" s="116"/>
      <c r="E47" s="3">
        <f>SUMIF(Table44914234517[Category],"Tuition",Table44914234517[Amount])</f>
        <v>0</v>
      </c>
      <c r="F47" s="84"/>
      <c r="G47" s="78"/>
      <c r="H47" s="79"/>
      <c r="I47" s="76"/>
      <c r="J47" s="76"/>
      <c r="K47" s="77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</row>
    <row r="48" spans="1:26" x14ac:dyDescent="0.2">
      <c r="A48" s="1"/>
      <c r="B48" s="46" t="s">
        <v>71</v>
      </c>
      <c r="C48" s="116"/>
      <c r="D48" s="116"/>
      <c r="E48" s="3">
        <f>SUMIF(Table44914234517[Category],"Books",Table44914234517[Amount])</f>
        <v>0</v>
      </c>
      <c r="F48" s="84"/>
      <c r="G48" s="78"/>
      <c r="H48" s="79"/>
      <c r="I48" s="76"/>
      <c r="J48" s="76"/>
      <c r="K48" s="77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</row>
    <row r="49" spans="1:26" x14ac:dyDescent="0.2">
      <c r="A49" s="1"/>
      <c r="B49" s="46"/>
      <c r="C49" s="116"/>
      <c r="D49" s="116"/>
      <c r="E49" s="3"/>
      <c r="F49" s="84"/>
      <c r="G49" s="78"/>
      <c r="H49" s="79"/>
      <c r="I49" s="76"/>
      <c r="J49" s="76"/>
      <c r="K49" s="77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</row>
    <row r="50" spans="1:26" x14ac:dyDescent="0.2">
      <c r="A50" s="1"/>
      <c r="B50" s="46"/>
      <c r="C50" s="116"/>
      <c r="D50" s="116"/>
      <c r="E50" s="3"/>
      <c r="F50" s="84"/>
      <c r="G50" s="78"/>
      <c r="H50" s="79"/>
      <c r="I50" s="76"/>
      <c r="J50" s="76"/>
      <c r="K50" s="77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</row>
    <row r="51" spans="1:26" x14ac:dyDescent="0.2">
      <c r="A51" s="1"/>
      <c r="B51" s="50" t="s">
        <v>121</v>
      </c>
      <c r="C51" s="73" t="e">
        <f>(D52+D55+D60)/(E81+E62)</f>
        <v>#DIV/0!</v>
      </c>
      <c r="D51" s="116"/>
      <c r="E51" s="3"/>
      <c r="F51" s="84"/>
      <c r="G51" s="78"/>
      <c r="H51" s="79"/>
      <c r="I51" s="76"/>
      <c r="J51" s="76"/>
      <c r="K51" s="77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</row>
    <row r="52" spans="1:26" x14ac:dyDescent="0.2">
      <c r="A52" s="1"/>
      <c r="B52" s="81" t="s">
        <v>41</v>
      </c>
      <c r="C52" s="116"/>
      <c r="D52" s="94">
        <f>SUM(E53:E54)</f>
        <v>0</v>
      </c>
      <c r="E52" s="3"/>
      <c r="F52" s="87">
        <f>SUM(F53:F54)</f>
        <v>0</v>
      </c>
      <c r="G52" s="78"/>
      <c r="H52" s="79"/>
      <c r="I52" s="76"/>
      <c r="J52" s="76"/>
      <c r="K52" s="77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</row>
    <row r="53" spans="1:26" x14ac:dyDescent="0.2">
      <c r="A53" s="1"/>
      <c r="B53" s="46" t="s">
        <v>72</v>
      </c>
      <c r="C53" s="116"/>
      <c r="D53" s="116"/>
      <c r="E53" s="3">
        <f>SUMIF(Table44914234517[Category],"Subscription",Table44914234517[Amount])</f>
        <v>0</v>
      </c>
      <c r="F53" s="84"/>
      <c r="G53" s="78"/>
      <c r="H53" s="79"/>
      <c r="I53" s="76"/>
      <c r="J53" s="76"/>
      <c r="K53" s="77"/>
      <c r="L53" s="78"/>
      <c r="M53" s="86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</row>
    <row r="54" spans="1:26" x14ac:dyDescent="0.2">
      <c r="A54" s="1"/>
      <c r="B54" s="46" t="s">
        <v>84</v>
      </c>
      <c r="C54" s="116"/>
      <c r="D54" s="116"/>
      <c r="E54" s="3">
        <f>SUMIF(Table44914234517[Category],"Events",Table44914234517[Amount])</f>
        <v>0</v>
      </c>
      <c r="F54" s="84"/>
      <c r="G54" s="78"/>
      <c r="H54" s="79"/>
      <c r="I54" s="76"/>
      <c r="J54" s="76"/>
      <c r="K54" s="77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</row>
    <row r="55" spans="1:26" x14ac:dyDescent="0.2">
      <c r="A55" s="1"/>
      <c r="B55" s="81" t="s">
        <v>73</v>
      </c>
      <c r="C55" s="116"/>
      <c r="D55" s="94">
        <f>SUM(E56:E59)</f>
        <v>0</v>
      </c>
      <c r="E55" s="3"/>
      <c r="F55" s="87">
        <f>SUM(F56:F59)</f>
        <v>0</v>
      </c>
      <c r="G55" s="78"/>
      <c r="H55" s="79"/>
      <c r="I55" s="76"/>
      <c r="J55" s="76"/>
      <c r="K55" s="77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</row>
    <row r="56" spans="1:26" x14ac:dyDescent="0.2">
      <c r="A56" s="1"/>
      <c r="B56" s="46" t="s">
        <v>74</v>
      </c>
      <c r="C56" s="116"/>
      <c r="D56" s="116"/>
      <c r="E56" s="3">
        <f>SUMIF(Table44914234517[Category],"Clothes",Table44914234517[Amount])</f>
        <v>0</v>
      </c>
      <c r="F56" s="84"/>
      <c r="G56" s="78"/>
      <c r="H56" s="79"/>
      <c r="I56" s="76"/>
      <c r="J56" s="76"/>
      <c r="K56" s="77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</row>
    <row r="57" spans="1:26" ht="17" thickBot="1" x14ac:dyDescent="0.25">
      <c r="A57" s="1"/>
      <c r="B57" s="46" t="s">
        <v>75</v>
      </c>
      <c r="C57" s="116"/>
      <c r="D57" s="116"/>
      <c r="E57" s="3">
        <f>SUMIF(Table44914234517[Category],"Accessories",Table44914234517[Amount])</f>
        <v>0</v>
      </c>
      <c r="F57" s="84"/>
      <c r="G57" s="78"/>
      <c r="H57" s="12" t="s">
        <v>144</v>
      </c>
      <c r="I57" s="9"/>
      <c r="J57" s="9"/>
      <c r="K57" s="10">
        <f>SUM(K22:K56)</f>
        <v>0</v>
      </c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</row>
    <row r="58" spans="1:26" x14ac:dyDescent="0.2">
      <c r="A58" s="1"/>
      <c r="B58" s="46" t="s">
        <v>76</v>
      </c>
      <c r="C58" s="116"/>
      <c r="D58" s="116"/>
      <c r="E58" s="3">
        <f>SUMIF(Table44914234517[Category],"Gifts",Table44914234517[Amount])</f>
        <v>0</v>
      </c>
      <c r="F58" s="84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</row>
    <row r="59" spans="1:26" ht="16" thickBot="1" x14ac:dyDescent="0.25">
      <c r="A59" s="78"/>
      <c r="B59" s="46" t="s">
        <v>81</v>
      </c>
      <c r="C59" s="116"/>
      <c r="D59" s="116"/>
      <c r="E59" s="3">
        <f>SUMIF(Table44914234517[Category],"Cosmetics",Table44914234517[Amount])</f>
        <v>0</v>
      </c>
      <c r="F59" s="84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</row>
    <row r="60" spans="1:26" x14ac:dyDescent="0.2">
      <c r="A60" s="78"/>
      <c r="B60" s="81" t="s">
        <v>77</v>
      </c>
      <c r="C60" s="116"/>
      <c r="D60" s="94">
        <f>SUMIF(Table44914234517[Category],"Hobbies",Table44914234517[Amount])</f>
        <v>0</v>
      </c>
      <c r="E60" s="3"/>
      <c r="F60" s="87">
        <v>0</v>
      </c>
      <c r="G60" s="78"/>
      <c r="H60" s="145" t="s">
        <v>103</v>
      </c>
      <c r="I60" s="146"/>
      <c r="J60" s="146"/>
      <c r="K60" s="147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</row>
    <row r="61" spans="1:26" x14ac:dyDescent="0.2">
      <c r="A61" s="78"/>
      <c r="B61" s="81"/>
      <c r="C61" s="116"/>
      <c r="D61" s="74"/>
      <c r="E61" s="3"/>
      <c r="F61" s="84"/>
      <c r="G61" s="78"/>
      <c r="H61" s="190"/>
      <c r="I61" s="149"/>
      <c r="J61" s="149"/>
      <c r="K61" s="150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</row>
    <row r="62" spans="1:26" ht="16" thickBot="1" x14ac:dyDescent="0.25">
      <c r="A62" s="78"/>
      <c r="B62" s="83" t="s">
        <v>4</v>
      </c>
      <c r="C62" s="82"/>
      <c r="D62" s="82"/>
      <c r="E62" s="90">
        <f>SUM(D31,D34,D40,D46,D52,D55,D60)</f>
        <v>0</v>
      </c>
      <c r="F62" s="85">
        <f>SUM(F31,F34,F40,F46,F52,F55,F60)</f>
        <v>0</v>
      </c>
      <c r="G62" s="78"/>
      <c r="H62" s="190"/>
      <c r="I62" s="149"/>
      <c r="J62" s="149"/>
      <c r="K62" s="150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</row>
    <row r="63" spans="1:26" x14ac:dyDescent="0.2">
      <c r="A63" s="78"/>
      <c r="B63" s="100"/>
      <c r="C63" s="101"/>
      <c r="D63" s="101"/>
      <c r="E63" s="102"/>
      <c r="F63" s="84"/>
      <c r="G63" s="78"/>
      <c r="H63" s="144"/>
      <c r="I63" s="149"/>
      <c r="J63" s="149"/>
      <c r="K63" s="150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</row>
    <row r="64" spans="1:26" x14ac:dyDescent="0.2">
      <c r="A64" s="78"/>
      <c r="B64" s="103" t="s">
        <v>85</v>
      </c>
      <c r="C64" s="104" t="e">
        <f>(D65)/(E81+E62)</f>
        <v>#DIV/0!</v>
      </c>
      <c r="D64" s="101"/>
      <c r="E64" s="102"/>
      <c r="F64" s="84"/>
      <c r="G64" s="78"/>
      <c r="H64" s="144"/>
      <c r="I64" s="149"/>
      <c r="J64" s="149"/>
      <c r="K64" s="150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</row>
    <row r="65" spans="1:26" x14ac:dyDescent="0.2">
      <c r="A65" s="78"/>
      <c r="B65" s="105" t="s">
        <v>94</v>
      </c>
      <c r="C65" s="101"/>
      <c r="D65" s="106">
        <f>SUM(E66:E68)</f>
        <v>0</v>
      </c>
      <c r="E65" s="102"/>
      <c r="F65" s="87">
        <f>SUM(F66:F68)</f>
        <v>0</v>
      </c>
      <c r="G65" s="78"/>
      <c r="H65" s="144"/>
      <c r="I65" s="149"/>
      <c r="J65" s="149"/>
      <c r="K65" s="150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</row>
    <row r="66" spans="1:26" x14ac:dyDescent="0.2">
      <c r="A66" s="78"/>
      <c r="B66" s="107" t="s">
        <v>88</v>
      </c>
      <c r="C66" s="101"/>
      <c r="D66" s="101"/>
      <c r="E66" s="102">
        <f>SUMIF(Table44914234517[Category],"Emergency Fund",Table44914234517[Amount])</f>
        <v>0</v>
      </c>
      <c r="F66" s="84"/>
      <c r="G66" s="78"/>
      <c r="H66" s="144"/>
      <c r="I66" s="149"/>
      <c r="J66" s="149"/>
      <c r="K66" s="150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</row>
    <row r="67" spans="1:26" x14ac:dyDescent="0.2">
      <c r="A67" s="78"/>
      <c r="B67" s="107" t="s">
        <v>55</v>
      </c>
      <c r="C67" s="101"/>
      <c r="D67" s="101"/>
      <c r="E67" s="102">
        <f>SUMIF(Table44914234517[Category],"Retirement",Table44914234517[Amount])</f>
        <v>0</v>
      </c>
      <c r="F67" s="84"/>
      <c r="G67" s="78"/>
      <c r="H67" s="144"/>
      <c r="I67" s="149"/>
      <c r="J67" s="149"/>
      <c r="K67" s="150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</row>
    <row r="68" spans="1:26" ht="14.25" customHeight="1" x14ac:dyDescent="0.2">
      <c r="A68" s="78"/>
      <c r="B68" s="107" t="s">
        <v>53</v>
      </c>
      <c r="C68" s="101"/>
      <c r="D68" s="101"/>
      <c r="E68" s="102">
        <f>SUMIF(Table44914234517[Category],"Investment",Table44914234517[Amount])</f>
        <v>0</v>
      </c>
      <c r="F68" s="84"/>
      <c r="G68" s="78"/>
      <c r="H68" s="144"/>
      <c r="I68" s="149"/>
      <c r="J68" s="149"/>
      <c r="K68" s="150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</row>
    <row r="69" spans="1:26" x14ac:dyDescent="0.2">
      <c r="A69" s="78"/>
      <c r="B69" s="100"/>
      <c r="C69" s="101"/>
      <c r="D69" s="101"/>
      <c r="E69" s="102"/>
      <c r="F69" s="84"/>
      <c r="G69" s="78"/>
      <c r="H69" s="144"/>
      <c r="I69" s="149"/>
      <c r="J69" s="149"/>
      <c r="K69" s="150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</row>
    <row r="70" spans="1:26" x14ac:dyDescent="0.2">
      <c r="A70" s="78"/>
      <c r="B70" s="103" t="s">
        <v>86</v>
      </c>
      <c r="C70" s="104" t="e">
        <f>D71/(E81+E62)</f>
        <v>#DIV/0!</v>
      </c>
      <c r="D70" s="101"/>
      <c r="E70" s="102"/>
      <c r="F70" s="84"/>
      <c r="G70" s="78"/>
      <c r="H70" s="144"/>
      <c r="I70" s="149"/>
      <c r="J70" s="149"/>
      <c r="K70" s="150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</row>
    <row r="71" spans="1:26" x14ac:dyDescent="0.2">
      <c r="A71" s="52"/>
      <c r="B71" s="105" t="s">
        <v>95</v>
      </c>
      <c r="C71" s="108"/>
      <c r="D71" s="106">
        <f>SUM(E72:E73)</f>
        <v>0</v>
      </c>
      <c r="E71" s="109"/>
      <c r="F71" s="87">
        <f>SUM(F72:F73)</f>
        <v>0</v>
      </c>
      <c r="G71" s="78"/>
      <c r="H71" s="144"/>
      <c r="I71" s="149"/>
      <c r="J71" s="149"/>
      <c r="K71" s="150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</row>
    <row r="72" spans="1:26" x14ac:dyDescent="0.2">
      <c r="A72" s="78"/>
      <c r="B72" s="110" t="s">
        <v>43</v>
      </c>
      <c r="C72" s="101"/>
      <c r="D72" s="101"/>
      <c r="E72" s="102">
        <f>SUMIF(Table44914234517[Category],"Donations",Table44914234517[Amount])</f>
        <v>0</v>
      </c>
      <c r="F72" s="84"/>
      <c r="G72" s="78"/>
      <c r="H72" s="144"/>
      <c r="I72" s="149"/>
      <c r="J72" s="149"/>
      <c r="K72" s="150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</row>
    <row r="73" spans="1:26" x14ac:dyDescent="0.2">
      <c r="A73" s="78"/>
      <c r="B73" s="110" t="s">
        <v>90</v>
      </c>
      <c r="C73" s="101"/>
      <c r="D73" s="101"/>
      <c r="E73" s="102">
        <f>SUMIF(Table44914234517[Category],"Offering",Table44914234517[Amount])</f>
        <v>0</v>
      </c>
      <c r="F73" s="84"/>
      <c r="G73" s="78"/>
      <c r="H73" s="144"/>
      <c r="I73" s="149"/>
      <c r="J73" s="149"/>
      <c r="K73" s="150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</row>
    <row r="74" spans="1:26" x14ac:dyDescent="0.2">
      <c r="A74" s="78"/>
      <c r="B74" s="110"/>
      <c r="C74" s="101"/>
      <c r="D74" s="101"/>
      <c r="E74" s="102"/>
      <c r="F74" s="84"/>
      <c r="G74" s="78"/>
      <c r="H74" s="144"/>
      <c r="I74" s="149"/>
      <c r="J74" s="149"/>
      <c r="K74" s="150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</row>
    <row r="75" spans="1:26" x14ac:dyDescent="0.2">
      <c r="A75" s="78"/>
      <c r="B75" s="111" t="s">
        <v>89</v>
      </c>
      <c r="C75" s="104" t="e">
        <f>D76/(E81+E62)</f>
        <v>#DIV/0!</v>
      </c>
      <c r="D75" s="101"/>
      <c r="E75" s="102"/>
      <c r="F75" s="84"/>
      <c r="G75" s="78"/>
      <c r="H75" s="144"/>
      <c r="I75" s="149"/>
      <c r="J75" s="149"/>
      <c r="K75" s="150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</row>
    <row r="76" spans="1:26" x14ac:dyDescent="0.2">
      <c r="A76" s="78"/>
      <c r="B76" s="112" t="s">
        <v>104</v>
      </c>
      <c r="C76" s="101"/>
      <c r="D76" s="106">
        <f>SUM(E77:E79)</f>
        <v>0</v>
      </c>
      <c r="E76" s="102"/>
      <c r="F76" s="87">
        <f>SUM(F77:F79)</f>
        <v>0</v>
      </c>
      <c r="G76" s="78"/>
      <c r="H76" s="144"/>
      <c r="I76" s="149"/>
      <c r="J76" s="149"/>
      <c r="K76" s="150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</row>
    <row r="77" spans="1:26" x14ac:dyDescent="0.2">
      <c r="A77" s="78"/>
      <c r="B77" s="110" t="s">
        <v>92</v>
      </c>
      <c r="C77" s="101"/>
      <c r="D77" s="101"/>
      <c r="E77" s="102">
        <f>SUMIF(Table44914234517[Category],"Student Loan",Table44914234517[Amount])</f>
        <v>0</v>
      </c>
      <c r="F77" s="84"/>
      <c r="G77" s="78"/>
      <c r="H77" s="144"/>
      <c r="I77" s="149"/>
      <c r="J77" s="149"/>
      <c r="K77" s="150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</row>
    <row r="78" spans="1:26" x14ac:dyDescent="0.2">
      <c r="A78" s="78"/>
      <c r="B78" s="107" t="s">
        <v>91</v>
      </c>
      <c r="C78" s="101"/>
      <c r="D78" s="101"/>
      <c r="E78" s="102">
        <f>SUMIF(Table44914234517[Category],"Credit Card",Table44914234517[Amount])</f>
        <v>0</v>
      </c>
      <c r="F78" s="84"/>
      <c r="G78" s="78"/>
      <c r="H78" s="144"/>
      <c r="I78" s="149"/>
      <c r="J78" s="149"/>
      <c r="K78" s="150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</row>
    <row r="79" spans="1:26" x14ac:dyDescent="0.2">
      <c r="A79" s="78"/>
      <c r="B79" s="110" t="s">
        <v>93</v>
      </c>
      <c r="C79" s="101"/>
      <c r="D79" s="101"/>
      <c r="E79" s="102">
        <f>SUMIF(Table44914234517[Category],"Car",Table44914234517[Amount])</f>
        <v>0</v>
      </c>
      <c r="F79" s="84"/>
      <c r="G79" s="1"/>
      <c r="H79" s="144"/>
      <c r="I79" s="149"/>
      <c r="J79" s="149"/>
      <c r="K79" s="150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</row>
    <row r="80" spans="1:26" s="54" customFormat="1" x14ac:dyDescent="0.2">
      <c r="A80" s="78"/>
      <c r="B80" s="111"/>
      <c r="C80" s="101"/>
      <c r="D80" s="101"/>
      <c r="E80" s="102"/>
      <c r="F80" s="84"/>
      <c r="G80" s="53"/>
      <c r="H80" s="148"/>
      <c r="I80" s="151"/>
      <c r="J80" s="151"/>
      <c r="K80" s="1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spans="1:26" ht="16" thickBot="1" x14ac:dyDescent="0.25">
      <c r="A81" s="78"/>
      <c r="B81" s="113" t="s">
        <v>35</v>
      </c>
      <c r="C81" s="114"/>
      <c r="D81" s="114"/>
      <c r="E81" s="115">
        <f>SUM(D65,D76,D71)</f>
        <v>0</v>
      </c>
      <c r="F81" s="85">
        <f>SUM(F65,F71,F76)</f>
        <v>0</v>
      </c>
      <c r="G81" s="1"/>
      <c r="H81" s="153"/>
      <c r="I81" s="154"/>
      <c r="J81" s="154"/>
      <c r="K81" s="155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</row>
    <row r="82" spans="1:26" x14ac:dyDescent="0.2">
      <c r="A82" s="78"/>
      <c r="B82" s="78"/>
      <c r="C82" s="78"/>
      <c r="D82" s="78"/>
      <c r="E82" s="78"/>
      <c r="F82" s="78"/>
      <c r="G82" s="1"/>
      <c r="H82" s="1"/>
      <c r="I82" s="1"/>
      <c r="J82" s="1"/>
      <c r="K82" s="1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</row>
    <row r="83" spans="1:26" ht="16" thickBot="1" x14ac:dyDescent="0.25">
      <c r="A83" s="78"/>
      <c r="B83" s="78"/>
      <c r="C83" s="78"/>
      <c r="D83" s="78"/>
      <c r="E83" s="78"/>
      <c r="F83" s="78"/>
      <c r="G83" s="1"/>
      <c r="H83" s="1"/>
      <c r="I83" s="1"/>
      <c r="J83" s="1"/>
      <c r="K83" s="1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</row>
    <row r="84" spans="1:26" x14ac:dyDescent="0.2">
      <c r="A84" s="78"/>
      <c r="B84" s="195" t="str">
        <f>B30</f>
        <v>LIVING EXPENSES</v>
      </c>
      <c r="C84" s="196" t="e">
        <f>C30</f>
        <v>#DIV/0!</v>
      </c>
      <c r="D84" s="78"/>
      <c r="E84" s="78"/>
      <c r="F84" s="78"/>
      <c r="G84" s="78"/>
      <c r="H84" s="1"/>
      <c r="I84" s="1"/>
      <c r="J84" s="1"/>
      <c r="K84" s="1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</row>
    <row r="85" spans="1:26" x14ac:dyDescent="0.2">
      <c r="A85" s="78"/>
      <c r="B85" s="144" t="str">
        <f>B51</f>
        <v>INDULGENCE EXPENSES</v>
      </c>
      <c r="C85" s="197" t="e">
        <f>C51</f>
        <v>#DIV/0!</v>
      </c>
      <c r="D85" s="78"/>
      <c r="E85" s="78"/>
      <c r="F85" s="78"/>
      <c r="G85" s="78"/>
      <c r="H85" s="1"/>
      <c r="I85" s="1"/>
      <c r="J85" s="1"/>
      <c r="K85" s="1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</row>
    <row r="86" spans="1:26" x14ac:dyDescent="0.2">
      <c r="A86" s="78"/>
      <c r="B86" s="144" t="str">
        <f>B64</f>
        <v>SAVINGS</v>
      </c>
      <c r="C86" s="197" t="e">
        <f>C64</f>
        <v>#DIV/0!</v>
      </c>
      <c r="D86" s="78"/>
      <c r="E86" s="78"/>
      <c r="F86" s="78"/>
      <c r="G86" s="78"/>
      <c r="H86" s="1"/>
      <c r="I86" s="1"/>
      <c r="J86" s="1"/>
      <c r="K86" s="1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</row>
    <row r="87" spans="1:26" x14ac:dyDescent="0.2">
      <c r="A87" s="78"/>
      <c r="B87" s="144" t="str">
        <f>B70</f>
        <v>TITHINGS</v>
      </c>
      <c r="C87" s="197" t="e">
        <f>C70</f>
        <v>#DIV/0!</v>
      </c>
      <c r="D87" s="78"/>
      <c r="E87" s="78"/>
      <c r="F87" s="78"/>
      <c r="G87" s="78"/>
      <c r="H87" s="1"/>
      <c r="I87" s="1"/>
      <c r="J87" s="1"/>
      <c r="K87" s="1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</row>
    <row r="88" spans="1:26" ht="16" thickBot="1" x14ac:dyDescent="0.25">
      <c r="A88" s="78"/>
      <c r="B88" s="153" t="str">
        <f>B75</f>
        <v>DEBT REPAYMENT</v>
      </c>
      <c r="C88" s="198" t="e">
        <f>C75</f>
        <v>#DIV/0!</v>
      </c>
      <c r="D88" s="78"/>
      <c r="E88" s="78"/>
      <c r="F88" s="78"/>
      <c r="G88" s="78"/>
      <c r="H88" s="1"/>
      <c r="I88" s="1"/>
      <c r="J88" s="1"/>
      <c r="K88" s="1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</row>
    <row r="89" spans="1:26" x14ac:dyDescent="0.2">
      <c r="A89" s="78"/>
      <c r="B89" s="78"/>
      <c r="C89" s="78"/>
      <c r="D89" s="78"/>
      <c r="E89" s="78"/>
      <c r="F89" s="78"/>
      <c r="G89" s="78"/>
      <c r="H89" s="1"/>
      <c r="I89" s="1"/>
      <c r="J89" s="1"/>
      <c r="K89" s="1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</row>
    <row r="90" spans="1:26" x14ac:dyDescent="0.2">
      <c r="A90" s="78"/>
      <c r="B90" s="78"/>
      <c r="C90" s="78"/>
      <c r="D90" s="78"/>
      <c r="E90" s="78"/>
      <c r="F90" s="78"/>
      <c r="G90" s="78"/>
      <c r="H90" s="1"/>
      <c r="I90" s="1"/>
      <c r="J90" s="1"/>
      <c r="K90" s="1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</row>
    <row r="91" spans="1:26" x14ac:dyDescent="0.2">
      <c r="A91" s="78"/>
      <c r="B91" s="78"/>
      <c r="C91" s="78"/>
      <c r="D91" s="78"/>
      <c r="E91" s="78"/>
      <c r="F91" s="78"/>
      <c r="G91" s="78"/>
      <c r="H91" s="1"/>
      <c r="I91" s="1"/>
      <c r="J91" s="1"/>
      <c r="K91" s="1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</row>
    <row r="92" spans="1:26" x14ac:dyDescent="0.2">
      <c r="A92" s="78"/>
      <c r="B92" s="78"/>
      <c r="C92" s="78"/>
      <c r="D92" s="78"/>
      <c r="E92" s="78"/>
      <c r="F92" s="78"/>
      <c r="G92" s="78"/>
      <c r="H92" s="1"/>
      <c r="I92" s="1"/>
      <c r="J92" s="1"/>
      <c r="K92" s="1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</row>
    <row r="93" spans="1:26" x14ac:dyDescent="0.2">
      <c r="A93" s="78"/>
      <c r="B93" s="78"/>
      <c r="C93" s="78"/>
      <c r="D93" s="78"/>
      <c r="E93" s="78"/>
      <c r="F93" s="78"/>
      <c r="G93" s="78"/>
      <c r="H93" s="1"/>
      <c r="I93" s="1"/>
      <c r="J93" s="1"/>
      <c r="K93" s="1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</row>
    <row r="94" spans="1:26" x14ac:dyDescent="0.2">
      <c r="A94" s="78"/>
      <c r="B94" s="78"/>
      <c r="C94" s="78"/>
      <c r="D94" s="78"/>
      <c r="E94" s="78"/>
      <c r="F94" s="78"/>
      <c r="G94" s="78"/>
      <c r="H94" s="1"/>
      <c r="I94" s="1"/>
      <c r="J94" s="1"/>
      <c r="K94" s="1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</row>
    <row r="95" spans="1:26" x14ac:dyDescent="0.2">
      <c r="A95" s="78"/>
      <c r="B95" s="78"/>
      <c r="C95" s="78"/>
      <c r="D95" s="78"/>
      <c r="E95" s="78"/>
      <c r="F95" s="78"/>
      <c r="G95" s="78"/>
      <c r="H95" s="1"/>
      <c r="I95" s="1"/>
      <c r="J95" s="1"/>
      <c r="K95" s="1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</row>
    <row r="96" spans="1:26" x14ac:dyDescent="0.2">
      <c r="A96" s="78"/>
      <c r="B96" s="78"/>
      <c r="C96" s="78"/>
      <c r="D96" s="78"/>
      <c r="E96" s="78"/>
      <c r="F96" s="78"/>
      <c r="G96" s="1"/>
      <c r="H96" s="1"/>
      <c r="I96" s="1"/>
      <c r="J96" s="1"/>
      <c r="K96" s="1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</row>
    <row r="97" spans="1:26" x14ac:dyDescent="0.2">
      <c r="A97" s="78"/>
      <c r="B97" s="78"/>
      <c r="C97" s="78"/>
      <c r="D97" s="78"/>
      <c r="E97" s="78"/>
      <c r="F97" s="78"/>
      <c r="G97" s="1"/>
      <c r="H97" s="1"/>
      <c r="I97" s="1"/>
      <c r="J97" s="1"/>
      <c r="K97" s="1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</row>
    <row r="98" spans="1:26" x14ac:dyDescent="0.2">
      <c r="A98" s="78"/>
      <c r="B98" s="78"/>
      <c r="C98" s="78"/>
      <c r="D98" s="78"/>
      <c r="E98" s="78"/>
      <c r="F98" s="78"/>
      <c r="G98" s="1"/>
      <c r="H98" s="1"/>
      <c r="I98" s="1"/>
      <c r="J98" s="1"/>
      <c r="K98" s="1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</row>
    <row r="99" spans="1:26" x14ac:dyDescent="0.2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</row>
    <row r="100" spans="1:26" x14ac:dyDescent="0.2">
      <c r="A100" s="78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</row>
    <row r="101" spans="1:26" x14ac:dyDescent="0.2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</row>
    <row r="102" spans="1:26" x14ac:dyDescent="0.2">
      <c r="A102" s="78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</row>
    <row r="103" spans="1:26" x14ac:dyDescent="0.2">
      <c r="A103" s="78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</row>
    <row r="104" spans="1:26" x14ac:dyDescent="0.2">
      <c r="A104" s="78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</row>
    <row r="105" spans="1:26" x14ac:dyDescent="0.2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</row>
    <row r="106" spans="1:26" x14ac:dyDescent="0.2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</row>
    <row r="107" spans="1:26" x14ac:dyDescent="0.2">
      <c r="A107" s="78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</row>
    <row r="108" spans="1:26" x14ac:dyDescent="0.2">
      <c r="A108" s="78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</row>
  </sheetData>
  <mergeCells count="11">
    <mergeCell ref="D9:E9"/>
    <mergeCell ref="B2:I2"/>
    <mergeCell ref="B6:C6"/>
    <mergeCell ref="D6:F6"/>
    <mergeCell ref="D7:E7"/>
    <mergeCell ref="D8:E8"/>
    <mergeCell ref="D10:E10"/>
    <mergeCell ref="D12:E12"/>
    <mergeCell ref="D13:E13"/>
    <mergeCell ref="B15:F15"/>
    <mergeCell ref="H20:K20"/>
  </mergeCells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9BCF9-9948-4043-8B7C-52A05E1D3E70}">
  <dimension ref="A1:Z108"/>
  <sheetViews>
    <sheetView workbookViewId="0"/>
  </sheetViews>
  <sheetFormatPr baseColWidth="10" defaultColWidth="9.1640625" defaultRowHeight="15" x14ac:dyDescent="0.2"/>
  <cols>
    <col min="1" max="1" width="10.6640625" style="75" customWidth="1"/>
    <col min="2" max="2" width="21.1640625" style="75" customWidth="1"/>
    <col min="3" max="6" width="10.6640625" style="75" customWidth="1"/>
    <col min="7" max="7" width="11" style="75" customWidth="1"/>
    <col min="8" max="8" width="12.6640625" style="75" customWidth="1"/>
    <col min="9" max="9" width="31.5" style="75" customWidth="1"/>
    <col min="10" max="10" width="15.6640625" style="75" customWidth="1"/>
    <col min="11" max="11" width="11.6640625" style="75" customWidth="1"/>
    <col min="12" max="13" width="9.1640625" style="75"/>
    <col min="14" max="19" width="10.6640625" style="75" customWidth="1"/>
    <col min="20" max="16384" width="9.1640625" style="75"/>
  </cols>
  <sheetData>
    <row r="1" spans="1:26" ht="16" thickBo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ht="20" thickBot="1" x14ac:dyDescent="0.3">
      <c r="A2" s="78"/>
      <c r="B2" s="214" t="s">
        <v>151</v>
      </c>
      <c r="C2" s="215"/>
      <c r="D2" s="215"/>
      <c r="E2" s="215"/>
      <c r="F2" s="215"/>
      <c r="G2" s="215"/>
      <c r="H2" s="215"/>
      <c r="I2" s="216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26" x14ac:dyDescent="0.2">
      <c r="A3" s="78"/>
      <c r="B3" s="140" t="s">
        <v>59</v>
      </c>
      <c r="C3" s="141" t="s">
        <v>20</v>
      </c>
      <c r="D3" s="141" t="s">
        <v>52</v>
      </c>
      <c r="E3" s="141" t="s">
        <v>12</v>
      </c>
      <c r="F3" s="142" t="s">
        <v>54</v>
      </c>
      <c r="G3" s="142" t="s">
        <v>14</v>
      </c>
      <c r="H3" s="142" t="s">
        <v>60</v>
      </c>
      <c r="I3" s="143" t="s">
        <v>55</v>
      </c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26" ht="16" thickBot="1" x14ac:dyDescent="0.25">
      <c r="A4" s="78"/>
      <c r="B4" s="95">
        <v>0</v>
      </c>
      <c r="C4" s="96">
        <v>0</v>
      </c>
      <c r="D4" s="96">
        <v>0</v>
      </c>
      <c r="E4" s="96">
        <v>0</v>
      </c>
      <c r="F4" s="97">
        <v>0</v>
      </c>
      <c r="G4" s="98">
        <v>0</v>
      </c>
      <c r="H4" s="98">
        <v>0</v>
      </c>
      <c r="I4" s="99">
        <v>0</v>
      </c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26" ht="16" thickBot="1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spans="1:26" ht="19" x14ac:dyDescent="0.25">
      <c r="A6" s="78"/>
      <c r="B6" s="217" t="s">
        <v>152</v>
      </c>
      <c r="C6" s="218"/>
      <c r="D6" s="219" t="s">
        <v>153</v>
      </c>
      <c r="E6" s="220"/>
      <c r="F6" s="221"/>
      <c r="G6" s="78"/>
      <c r="H6" s="1"/>
      <c r="I6" s="1"/>
      <c r="J6" s="1"/>
      <c r="K6" s="1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pans="1:26" x14ac:dyDescent="0.2">
      <c r="A7" s="78"/>
      <c r="B7" s="117" t="s">
        <v>2</v>
      </c>
      <c r="C7" s="118">
        <v>0</v>
      </c>
      <c r="D7" s="222" t="str">
        <f t="shared" ref="D7:D13" si="0">B7</f>
        <v>Income</v>
      </c>
      <c r="E7" s="223"/>
      <c r="F7" s="119">
        <f>F27</f>
        <v>0</v>
      </c>
      <c r="G7" s="78"/>
      <c r="H7" s="1"/>
      <c r="I7" s="1"/>
      <c r="J7" s="1"/>
      <c r="K7" s="1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</row>
    <row r="8" spans="1:26" x14ac:dyDescent="0.2">
      <c r="A8" s="78"/>
      <c r="B8" s="120" t="s">
        <v>12</v>
      </c>
      <c r="C8" s="121">
        <f>SUM(F66:F68)</f>
        <v>0</v>
      </c>
      <c r="D8" s="228" t="str">
        <f t="shared" si="0"/>
        <v>Savings</v>
      </c>
      <c r="E8" s="229"/>
      <c r="F8" s="122">
        <f>D65</f>
        <v>0</v>
      </c>
      <c r="G8" s="78"/>
      <c r="H8" s="1"/>
      <c r="I8" s="1"/>
      <c r="J8" s="1"/>
      <c r="K8" s="1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</row>
    <row r="9" spans="1:26" x14ac:dyDescent="0.2">
      <c r="A9" s="78"/>
      <c r="B9" s="123" t="s">
        <v>120</v>
      </c>
      <c r="C9" s="124">
        <f>SUM(F72:F73)</f>
        <v>0</v>
      </c>
      <c r="D9" s="232" t="str">
        <f t="shared" si="0"/>
        <v>Tithing</v>
      </c>
      <c r="E9" s="232"/>
      <c r="F9" s="125">
        <f>D71</f>
        <v>0</v>
      </c>
      <c r="G9" s="78"/>
      <c r="H9" s="1"/>
      <c r="I9" s="1"/>
      <c r="J9" s="1"/>
      <c r="K9" s="1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</row>
    <row r="10" spans="1:26" x14ac:dyDescent="0.2">
      <c r="A10" s="78"/>
      <c r="B10" s="126" t="s">
        <v>14</v>
      </c>
      <c r="C10" s="127">
        <f>SUM(F77:F79)</f>
        <v>0</v>
      </c>
      <c r="D10" s="230" t="str">
        <f t="shared" si="0"/>
        <v>Debt</v>
      </c>
      <c r="E10" s="231"/>
      <c r="F10" s="128">
        <f>D76</f>
        <v>0</v>
      </c>
      <c r="G10" s="78"/>
      <c r="H10" s="1"/>
      <c r="I10" s="1"/>
      <c r="J10" s="1"/>
      <c r="K10" s="1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</row>
    <row r="11" spans="1:26" x14ac:dyDescent="0.2">
      <c r="A11" s="78"/>
      <c r="B11" s="129" t="s">
        <v>124</v>
      </c>
      <c r="C11" s="130">
        <f>C7-C8-C9-C10</f>
        <v>0</v>
      </c>
      <c r="D11" s="131" t="str">
        <f t="shared" si="0"/>
        <v>Budgeted</v>
      </c>
      <c r="E11" s="132"/>
      <c r="F11" s="133">
        <f>F7-F8-F9-F10</f>
        <v>0</v>
      </c>
      <c r="G11" s="78"/>
      <c r="H11" s="1"/>
      <c r="I11" s="1"/>
      <c r="J11" s="1"/>
      <c r="K11" s="1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</row>
    <row r="12" spans="1:26" x14ac:dyDescent="0.2">
      <c r="A12" s="78"/>
      <c r="B12" s="134" t="s">
        <v>0</v>
      </c>
      <c r="C12" s="135">
        <f>F62</f>
        <v>0</v>
      </c>
      <c r="D12" s="224" t="str">
        <f t="shared" si="0"/>
        <v>Expenses</v>
      </c>
      <c r="E12" s="225"/>
      <c r="F12" s="136">
        <f>E62</f>
        <v>0</v>
      </c>
      <c r="G12" s="78"/>
      <c r="H12" s="1"/>
      <c r="I12" s="1"/>
      <c r="J12" s="1"/>
      <c r="K12" s="1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</row>
    <row r="13" spans="1:26" ht="16" thickBot="1" x14ac:dyDescent="0.25">
      <c r="A13" s="78"/>
      <c r="B13" s="137" t="s">
        <v>123</v>
      </c>
      <c r="C13" s="138">
        <f>C11-C12</f>
        <v>0</v>
      </c>
      <c r="D13" s="226" t="str">
        <f t="shared" si="0"/>
        <v>Remaining</v>
      </c>
      <c r="E13" s="227"/>
      <c r="F13" s="139">
        <f>F11-F12</f>
        <v>0</v>
      </c>
      <c r="G13" s="78"/>
      <c r="H13" s="1"/>
      <c r="I13" s="1"/>
      <c r="J13" s="1"/>
      <c r="K13" s="1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</row>
    <row r="14" spans="1:26" ht="16" thickBot="1" x14ac:dyDescent="0.25">
      <c r="A14" s="78"/>
      <c r="B14" s="78"/>
      <c r="C14" s="78"/>
      <c r="D14" s="78"/>
      <c r="E14" s="78"/>
      <c r="F14" s="78"/>
      <c r="G14" s="78"/>
      <c r="H14" s="1"/>
      <c r="I14" s="1"/>
      <c r="J14" s="1"/>
      <c r="K14" s="1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</row>
    <row r="15" spans="1:26" ht="20" thickBot="1" x14ac:dyDescent="0.3">
      <c r="A15" s="78"/>
      <c r="B15" s="214" t="s">
        <v>154</v>
      </c>
      <c r="C15" s="215"/>
      <c r="D15" s="215"/>
      <c r="E15" s="215"/>
      <c r="F15" s="216"/>
      <c r="G15" s="78"/>
      <c r="H15" s="1"/>
      <c r="I15" s="1"/>
      <c r="J15" s="1"/>
      <c r="K15" s="1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</row>
    <row r="16" spans="1:26" ht="17" thickBot="1" x14ac:dyDescent="0.25">
      <c r="A16" s="78"/>
      <c r="B16" s="63" t="s">
        <v>2</v>
      </c>
      <c r="C16" s="64"/>
      <c r="D16" s="65"/>
      <c r="E16" s="65"/>
      <c r="F16" s="66"/>
      <c r="G16" s="78"/>
      <c r="H16" s="1"/>
      <c r="I16" s="1"/>
      <c r="J16" s="1"/>
      <c r="K16" s="1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</row>
    <row r="17" spans="1:26" x14ac:dyDescent="0.2">
      <c r="A17" s="78"/>
      <c r="B17" s="4"/>
      <c r="C17" s="2"/>
      <c r="D17" s="2"/>
      <c r="E17" s="2"/>
      <c r="F17" s="62"/>
      <c r="G17" s="78"/>
      <c r="H17" s="1"/>
      <c r="I17" s="1"/>
      <c r="J17" s="1"/>
      <c r="K17" s="1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</row>
    <row r="18" spans="1:26" x14ac:dyDescent="0.2">
      <c r="A18" s="78"/>
      <c r="B18" s="4"/>
      <c r="C18" s="2"/>
      <c r="D18" s="2"/>
      <c r="E18" s="2"/>
      <c r="F18" s="55"/>
      <c r="G18" s="78"/>
      <c r="H18" s="1"/>
      <c r="I18" s="1"/>
      <c r="J18" s="1"/>
      <c r="K18" s="1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</row>
    <row r="19" spans="1:26" ht="16" thickBot="1" x14ac:dyDescent="0.25">
      <c r="A19" s="78"/>
      <c r="B19" s="4"/>
      <c r="C19" s="2"/>
      <c r="D19" s="2"/>
      <c r="E19" s="2"/>
      <c r="F19" s="55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</row>
    <row r="20" spans="1:26" ht="20" thickBot="1" x14ac:dyDescent="0.3">
      <c r="A20" s="78"/>
      <c r="B20" s="4"/>
      <c r="C20" s="2"/>
      <c r="D20" s="2"/>
      <c r="E20" s="2"/>
      <c r="F20" s="55"/>
      <c r="G20" s="78"/>
      <c r="H20" s="214" t="s">
        <v>155</v>
      </c>
      <c r="I20" s="215"/>
      <c r="J20" s="215"/>
      <c r="K20" s="216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</row>
    <row r="21" spans="1:26" x14ac:dyDescent="0.2">
      <c r="A21" s="78"/>
      <c r="B21" s="4"/>
      <c r="C21" s="2"/>
      <c r="D21" s="2"/>
      <c r="E21" s="2"/>
      <c r="F21" s="55"/>
      <c r="G21" s="78"/>
      <c r="H21" s="76" t="s">
        <v>5</v>
      </c>
      <c r="I21" s="76" t="s">
        <v>7</v>
      </c>
      <c r="J21" s="76" t="s">
        <v>8</v>
      </c>
      <c r="K21" s="77" t="s">
        <v>6</v>
      </c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</row>
    <row r="22" spans="1:26" x14ac:dyDescent="0.2">
      <c r="A22" s="78"/>
      <c r="B22" s="4"/>
      <c r="C22" s="2"/>
      <c r="D22" s="2"/>
      <c r="E22" s="2"/>
      <c r="F22" s="55"/>
      <c r="G22" s="78"/>
      <c r="H22" s="79"/>
      <c r="I22" s="76"/>
      <c r="J22" s="76"/>
      <c r="K22" s="77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</row>
    <row r="23" spans="1:26" x14ac:dyDescent="0.2">
      <c r="A23" s="78"/>
      <c r="B23" s="4"/>
      <c r="C23" s="2"/>
      <c r="D23" s="2"/>
      <c r="E23" s="2"/>
      <c r="F23" s="55"/>
      <c r="G23" s="78"/>
      <c r="H23" s="79"/>
      <c r="I23" s="76"/>
      <c r="J23" s="76"/>
      <c r="K23" s="77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</row>
    <row r="24" spans="1:26" x14ac:dyDescent="0.2">
      <c r="A24" s="78"/>
      <c r="B24" s="4"/>
      <c r="C24" s="2"/>
      <c r="D24" s="2"/>
      <c r="E24" s="2"/>
      <c r="F24" s="55"/>
      <c r="G24" s="78"/>
      <c r="H24" s="79"/>
      <c r="I24" s="76"/>
      <c r="J24" s="76"/>
      <c r="K24" s="77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</row>
    <row r="25" spans="1:26" x14ac:dyDescent="0.2">
      <c r="A25" s="78"/>
      <c r="B25" s="4"/>
      <c r="C25" s="2"/>
      <c r="D25" s="2"/>
      <c r="E25" s="2"/>
      <c r="F25" s="55"/>
      <c r="G25" s="78"/>
      <c r="H25" s="79"/>
      <c r="I25" s="76"/>
      <c r="J25" s="76"/>
      <c r="K25" s="77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</row>
    <row r="26" spans="1:26" x14ac:dyDescent="0.2">
      <c r="A26" s="78"/>
      <c r="B26" s="5"/>
      <c r="C26" s="2"/>
      <c r="D26" s="2"/>
      <c r="E26" s="2"/>
      <c r="F26" s="56"/>
      <c r="G26" s="78"/>
      <c r="H26" s="79"/>
      <c r="I26" s="76"/>
      <c r="J26" s="76"/>
      <c r="K26" s="77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</row>
    <row r="27" spans="1:26" s="41" customFormat="1" ht="16" thickBot="1" x14ac:dyDescent="0.25">
      <c r="A27" s="78"/>
      <c r="B27" s="6" t="s">
        <v>3</v>
      </c>
      <c r="C27" s="7"/>
      <c r="D27" s="58"/>
      <c r="E27" s="58"/>
      <c r="F27" s="57">
        <f>SUM(F17:F26)</f>
        <v>0</v>
      </c>
      <c r="G27" s="78"/>
      <c r="H27" s="79"/>
      <c r="I27" s="76"/>
      <c r="J27" s="76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</row>
    <row r="28" spans="1:26" ht="16" thickBot="1" x14ac:dyDescent="0.25">
      <c r="A28" s="78"/>
      <c r="B28" s="59"/>
      <c r="C28" s="60"/>
      <c r="D28" s="60"/>
      <c r="E28" s="60"/>
      <c r="F28" s="61"/>
      <c r="G28" s="78"/>
      <c r="H28" s="79"/>
      <c r="I28" s="76"/>
      <c r="J28" s="76"/>
      <c r="K28" s="77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</row>
    <row r="29" spans="1:26" ht="17" thickBot="1" x14ac:dyDescent="0.25">
      <c r="A29" s="78"/>
      <c r="B29" s="51" t="s">
        <v>0</v>
      </c>
      <c r="C29" s="49"/>
      <c r="D29" s="49"/>
      <c r="E29" s="49"/>
      <c r="F29" s="68" t="s">
        <v>1</v>
      </c>
      <c r="G29" s="78"/>
      <c r="H29" s="79"/>
      <c r="I29" s="76"/>
      <c r="J29" s="76"/>
      <c r="K29" s="77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</row>
    <row r="30" spans="1:26" x14ac:dyDescent="0.2">
      <c r="A30" s="78"/>
      <c r="B30" s="67" t="s">
        <v>87</v>
      </c>
      <c r="C30" s="72" t="e">
        <f>(D31+D34+D40+D46)/(E81+E62)</f>
        <v>#DIV/0!</v>
      </c>
      <c r="D30" s="71"/>
      <c r="E30" s="89"/>
      <c r="F30" s="91"/>
      <c r="G30" s="78"/>
      <c r="H30" s="79"/>
      <c r="I30" s="76"/>
      <c r="J30" s="76"/>
      <c r="K30" s="77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</row>
    <row r="31" spans="1:26" x14ac:dyDescent="0.2">
      <c r="A31" s="78"/>
      <c r="B31" s="81" t="s">
        <v>37</v>
      </c>
      <c r="C31" s="3"/>
      <c r="D31" s="92">
        <f>SUM(E32:E33)</f>
        <v>0</v>
      </c>
      <c r="E31" s="3"/>
      <c r="F31" s="87">
        <f>SUM(F32:F33)</f>
        <v>0</v>
      </c>
      <c r="G31" s="78"/>
      <c r="H31" s="79"/>
      <c r="I31" s="76"/>
      <c r="J31" s="76"/>
      <c r="K31" s="77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</row>
    <row r="32" spans="1:26" x14ac:dyDescent="0.2">
      <c r="A32" s="78"/>
      <c r="B32" s="46" t="s">
        <v>62</v>
      </c>
      <c r="C32" s="3"/>
      <c r="D32" s="3"/>
      <c r="E32" s="3">
        <f>SUMIF(Table4491423418[Category],"Rent",Table4491423418[Amount])</f>
        <v>0</v>
      </c>
      <c r="F32" s="84"/>
      <c r="G32" s="78"/>
      <c r="H32" s="79"/>
      <c r="I32" s="76"/>
      <c r="J32" s="76"/>
      <c r="K32" s="77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</row>
    <row r="33" spans="1:26" x14ac:dyDescent="0.2">
      <c r="A33" s="78"/>
      <c r="B33" s="46" t="s">
        <v>38</v>
      </c>
      <c r="C33" s="3"/>
      <c r="D33" s="3"/>
      <c r="E33" s="3">
        <f>SUMIF(Table4491423418[Category],"Utilities",Table4491423418[Amount])</f>
        <v>0</v>
      </c>
      <c r="F33" s="84"/>
      <c r="G33" s="78"/>
      <c r="H33" s="79"/>
      <c r="I33" s="76"/>
      <c r="J33" s="76"/>
      <c r="K33" s="77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</row>
    <row r="34" spans="1:26" x14ac:dyDescent="0.2">
      <c r="A34" s="78"/>
      <c r="B34" s="47" t="s">
        <v>39</v>
      </c>
      <c r="C34" s="3"/>
      <c r="D34" s="92">
        <f>SUM(E35:E39)</f>
        <v>0</v>
      </c>
      <c r="E34" s="3"/>
      <c r="F34" s="87">
        <f>SUM(F35:F39)</f>
        <v>0</v>
      </c>
      <c r="G34" s="78"/>
      <c r="H34" s="79"/>
      <c r="I34" s="76"/>
      <c r="J34" s="76"/>
      <c r="K34" s="77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</row>
    <row r="35" spans="1:26" ht="15.75" customHeight="1" x14ac:dyDescent="0.2">
      <c r="A35" s="78"/>
      <c r="B35" s="46" t="s">
        <v>82</v>
      </c>
      <c r="C35" s="3"/>
      <c r="D35" s="3"/>
      <c r="E35" s="3">
        <f>SUMIF(Table4491423418[Category],"Restaurants",Table4491423418[Amount])</f>
        <v>0</v>
      </c>
      <c r="F35" s="84"/>
      <c r="G35" s="78"/>
      <c r="H35" s="79"/>
      <c r="I35" s="76"/>
      <c r="J35" s="76"/>
      <c r="K35" s="77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</row>
    <row r="36" spans="1:26" ht="14.25" customHeight="1" x14ac:dyDescent="0.2">
      <c r="A36" s="78"/>
      <c r="B36" s="46" t="s">
        <v>63</v>
      </c>
      <c r="C36" s="3"/>
      <c r="D36" s="3"/>
      <c r="E36" s="3">
        <f>SUMIF(Table4491423418[Category],"Fast Food",Table4491423418[Amount])</f>
        <v>0</v>
      </c>
      <c r="F36" s="84"/>
      <c r="G36" s="78"/>
      <c r="H36" s="79"/>
      <c r="I36" s="76"/>
      <c r="J36" s="76"/>
      <c r="K36" s="77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</row>
    <row r="37" spans="1:26" x14ac:dyDescent="0.2">
      <c r="A37" s="78"/>
      <c r="B37" s="46" t="s">
        <v>64</v>
      </c>
      <c r="C37" s="3"/>
      <c r="D37" s="3"/>
      <c r="E37" s="3">
        <f>SUMIF(Table4491423418[Category],"Groceries",Table4491423418[Amount])</f>
        <v>0</v>
      </c>
      <c r="F37" s="84"/>
      <c r="G37" s="78"/>
      <c r="H37" s="79"/>
      <c r="I37" s="76"/>
      <c r="J37" s="76"/>
      <c r="K37" s="77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</row>
    <row r="38" spans="1:26" x14ac:dyDescent="0.2">
      <c r="A38" s="78"/>
      <c r="B38" s="46" t="s">
        <v>65</v>
      </c>
      <c r="C38" s="3"/>
      <c r="D38" s="3"/>
      <c r="E38" s="3">
        <f>SUMIF(Table4491423418[Category],"Coffee",Table4491423418[Amount])</f>
        <v>0</v>
      </c>
      <c r="F38" s="84"/>
      <c r="G38" s="78"/>
      <c r="H38" s="79"/>
      <c r="I38" s="76"/>
      <c r="J38" s="76"/>
      <c r="K38" s="77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</row>
    <row r="39" spans="1:26" x14ac:dyDescent="0.2">
      <c r="A39" s="78"/>
      <c r="B39" s="46" t="s">
        <v>66</v>
      </c>
      <c r="C39" s="3"/>
      <c r="D39" s="3"/>
      <c r="E39" s="3">
        <f>SUMIF(Table4491423418[Category],"Bars",Table4491423418[Amount])</f>
        <v>0</v>
      </c>
      <c r="F39" s="84"/>
      <c r="G39" s="78"/>
      <c r="H39" s="79"/>
      <c r="I39" s="76"/>
      <c r="J39" s="76"/>
      <c r="K39" s="77"/>
      <c r="L39" s="78"/>
      <c r="M39" s="78"/>
      <c r="N39" s="37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spans="1:26" x14ac:dyDescent="0.2">
      <c r="A40" s="78"/>
      <c r="B40" s="48" t="s">
        <v>67</v>
      </c>
      <c r="C40" s="44"/>
      <c r="D40" s="93">
        <f>SUM(E41:E45)</f>
        <v>0</v>
      </c>
      <c r="E40" s="3"/>
      <c r="F40" s="88">
        <f>SUM(F41:F45)</f>
        <v>0</v>
      </c>
      <c r="G40" s="78"/>
      <c r="H40" s="79"/>
      <c r="I40" s="76"/>
      <c r="J40" s="76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spans="1:26" x14ac:dyDescent="0.2">
      <c r="A41" s="1"/>
      <c r="B41" s="46" t="s">
        <v>42</v>
      </c>
      <c r="C41" s="3"/>
      <c r="D41" s="3"/>
      <c r="E41" s="3">
        <f>SUMIF(Table4491423418[Category],"Gas",Table4491423418[Amount])</f>
        <v>0</v>
      </c>
      <c r="F41" s="84"/>
      <c r="G41" s="78"/>
      <c r="H41" s="79"/>
      <c r="I41" s="76"/>
      <c r="K41" s="77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</row>
    <row r="42" spans="1:26" x14ac:dyDescent="0.2">
      <c r="A42" s="1"/>
      <c r="B42" s="46" t="s">
        <v>68</v>
      </c>
      <c r="C42" s="116"/>
      <c r="D42" s="116"/>
      <c r="E42" s="3">
        <f>SUMIF(Table4491423418[Category],"Insurance",Table4491423418[Amount])</f>
        <v>0</v>
      </c>
      <c r="F42" s="84"/>
      <c r="G42" s="78"/>
      <c r="H42" s="79"/>
      <c r="J42" s="76"/>
      <c r="K42" s="77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</row>
    <row r="43" spans="1:26" x14ac:dyDescent="0.2">
      <c r="A43" s="18"/>
      <c r="B43" s="46" t="s">
        <v>83</v>
      </c>
      <c r="C43" s="116"/>
      <c r="D43" s="116"/>
      <c r="E43" s="3">
        <f>SUMIF(Table4491423418[Category],"Maintenance",Table4491423418[Amount])</f>
        <v>0</v>
      </c>
      <c r="F43" s="84"/>
      <c r="G43" s="78"/>
      <c r="H43" s="79"/>
      <c r="I43" s="76"/>
      <c r="J43" s="76"/>
      <c r="K43" s="77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</row>
    <row r="44" spans="1:26" x14ac:dyDescent="0.2">
      <c r="A44" s="43"/>
      <c r="B44" s="46" t="s">
        <v>69</v>
      </c>
      <c r="C44" s="116"/>
      <c r="D44" s="116"/>
      <c r="E44" s="3">
        <f>SUMIF(Table4491423418[Category],"Parking",Table4491423418[Amount])</f>
        <v>0</v>
      </c>
      <c r="F44" s="84"/>
      <c r="G44" s="78"/>
      <c r="H44" s="79"/>
      <c r="I44" s="76"/>
      <c r="J44" s="76"/>
      <c r="K44" s="77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</row>
    <row r="45" spans="1:26" x14ac:dyDescent="0.2">
      <c r="A45" s="78"/>
      <c r="B45" s="46" t="s">
        <v>40</v>
      </c>
      <c r="C45" s="116"/>
      <c r="D45" s="116"/>
      <c r="E45" s="3">
        <f>SUMIF(Table4491423418[Category],"Uber",Table4491423418[Amount])</f>
        <v>0</v>
      </c>
      <c r="F45" s="84"/>
      <c r="G45" s="78"/>
      <c r="H45" s="79"/>
      <c r="I45" s="76"/>
      <c r="J45" s="76"/>
      <c r="K45" s="77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</row>
    <row r="46" spans="1:26" x14ac:dyDescent="0.2">
      <c r="A46" s="1"/>
      <c r="B46" s="81" t="s">
        <v>70</v>
      </c>
      <c r="C46" s="116"/>
      <c r="D46" s="94">
        <f>SUM(E47:E48)</f>
        <v>0</v>
      </c>
      <c r="E46" s="3"/>
      <c r="F46" s="87">
        <f>SUM(F47:F48)</f>
        <v>0</v>
      </c>
      <c r="G46" s="78"/>
      <c r="H46" s="79"/>
      <c r="I46" s="76"/>
      <c r="J46" s="76"/>
      <c r="K46" s="77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</row>
    <row r="47" spans="1:26" x14ac:dyDescent="0.2">
      <c r="A47" s="1"/>
      <c r="B47" s="46" t="s">
        <v>44</v>
      </c>
      <c r="C47" s="116"/>
      <c r="D47" s="116"/>
      <c r="E47" s="3">
        <f>SUMIF(Table4491423418[Category],"Tuition",Table4491423418[Amount])</f>
        <v>0</v>
      </c>
      <c r="F47" s="84"/>
      <c r="G47" s="78"/>
      <c r="H47" s="79"/>
      <c r="I47" s="76"/>
      <c r="J47" s="76"/>
      <c r="K47" s="77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</row>
    <row r="48" spans="1:26" x14ac:dyDescent="0.2">
      <c r="A48" s="1"/>
      <c r="B48" s="46" t="s">
        <v>71</v>
      </c>
      <c r="C48" s="116"/>
      <c r="D48" s="116"/>
      <c r="E48" s="3">
        <f>SUMIF(Table4491423418[Category],"Books",Table4491423418[Amount])</f>
        <v>0</v>
      </c>
      <c r="F48" s="84"/>
      <c r="G48" s="78"/>
      <c r="H48" s="79"/>
      <c r="I48" s="76"/>
      <c r="J48" s="76"/>
      <c r="K48" s="77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</row>
    <row r="49" spans="1:26" x14ac:dyDescent="0.2">
      <c r="A49" s="1"/>
      <c r="B49" s="46"/>
      <c r="C49" s="116"/>
      <c r="D49" s="116"/>
      <c r="E49" s="3"/>
      <c r="F49" s="84"/>
      <c r="G49" s="78"/>
      <c r="H49" s="79"/>
      <c r="I49" s="76"/>
      <c r="J49" s="76"/>
      <c r="K49" s="77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</row>
    <row r="50" spans="1:26" x14ac:dyDescent="0.2">
      <c r="A50" s="1"/>
      <c r="B50" s="46"/>
      <c r="C50" s="116"/>
      <c r="D50" s="116"/>
      <c r="E50" s="3"/>
      <c r="F50" s="84"/>
      <c r="G50" s="78"/>
      <c r="H50" s="79"/>
      <c r="I50" s="76"/>
      <c r="J50" s="76"/>
      <c r="K50" s="77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</row>
    <row r="51" spans="1:26" x14ac:dyDescent="0.2">
      <c r="A51" s="1"/>
      <c r="B51" s="50" t="s">
        <v>121</v>
      </c>
      <c r="C51" s="73" t="e">
        <f>(D52+D55+D60)/(E81+E62)</f>
        <v>#DIV/0!</v>
      </c>
      <c r="D51" s="116"/>
      <c r="E51" s="3"/>
      <c r="F51" s="84"/>
      <c r="G51" s="78"/>
      <c r="H51" s="79"/>
      <c r="I51" s="76"/>
      <c r="J51" s="76"/>
      <c r="K51" s="77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</row>
    <row r="52" spans="1:26" x14ac:dyDescent="0.2">
      <c r="A52" s="1"/>
      <c r="B52" s="81" t="s">
        <v>41</v>
      </c>
      <c r="C52" s="116"/>
      <c r="D52" s="94">
        <f>SUM(E53:E54)</f>
        <v>0</v>
      </c>
      <c r="E52" s="3"/>
      <c r="F52" s="87">
        <f>SUM(F53:F54)</f>
        <v>0</v>
      </c>
      <c r="G52" s="78"/>
      <c r="H52" s="79"/>
      <c r="I52" s="76"/>
      <c r="J52" s="76"/>
      <c r="K52" s="77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</row>
    <row r="53" spans="1:26" x14ac:dyDescent="0.2">
      <c r="A53" s="1"/>
      <c r="B53" s="46" t="s">
        <v>72</v>
      </c>
      <c r="C53" s="116"/>
      <c r="D53" s="116"/>
      <c r="E53" s="3">
        <f>SUMIF(Table4491423418[Category],"Subscription",Table4491423418[Amount])</f>
        <v>0</v>
      </c>
      <c r="F53" s="84"/>
      <c r="G53" s="78"/>
      <c r="H53" s="79"/>
      <c r="I53" s="76"/>
      <c r="J53" s="76"/>
      <c r="K53" s="77"/>
      <c r="L53" s="78"/>
      <c r="M53" s="86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</row>
    <row r="54" spans="1:26" x14ac:dyDescent="0.2">
      <c r="A54" s="1"/>
      <c r="B54" s="46" t="s">
        <v>84</v>
      </c>
      <c r="C54" s="116"/>
      <c r="D54" s="116"/>
      <c r="E54" s="3">
        <f>SUMIF(Table4491423418[Category],"Events",Table4491423418[Amount])</f>
        <v>0</v>
      </c>
      <c r="F54" s="84"/>
      <c r="G54" s="78"/>
      <c r="H54" s="79"/>
      <c r="I54" s="76"/>
      <c r="J54" s="76"/>
      <c r="K54" s="77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</row>
    <row r="55" spans="1:26" x14ac:dyDescent="0.2">
      <c r="A55" s="1"/>
      <c r="B55" s="81" t="s">
        <v>73</v>
      </c>
      <c r="C55" s="116"/>
      <c r="D55" s="94">
        <f>SUM(E56:E59)</f>
        <v>0</v>
      </c>
      <c r="E55" s="3"/>
      <c r="F55" s="87">
        <f>SUM(F56:F59)</f>
        <v>0</v>
      </c>
      <c r="G55" s="78"/>
      <c r="H55" s="79"/>
      <c r="I55" s="76"/>
      <c r="J55" s="76"/>
      <c r="K55" s="77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</row>
    <row r="56" spans="1:26" x14ac:dyDescent="0.2">
      <c r="A56" s="1"/>
      <c r="B56" s="46" t="s">
        <v>74</v>
      </c>
      <c r="C56" s="116"/>
      <c r="D56" s="116"/>
      <c r="E56" s="3">
        <f>SUMIF(Table4491423418[Category],"Clothes",Table4491423418[Amount])</f>
        <v>0</v>
      </c>
      <c r="F56" s="84"/>
      <c r="G56" s="78"/>
      <c r="H56" s="79"/>
      <c r="I56" s="76"/>
      <c r="J56" s="76"/>
      <c r="K56" s="77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</row>
    <row r="57" spans="1:26" ht="17" thickBot="1" x14ac:dyDescent="0.25">
      <c r="A57" s="1"/>
      <c r="B57" s="46" t="s">
        <v>75</v>
      </c>
      <c r="C57" s="116"/>
      <c r="D57" s="116"/>
      <c r="E57" s="3">
        <f>SUMIF(Table4491423418[Category],"Accessories",Table4491423418[Amount])</f>
        <v>0</v>
      </c>
      <c r="F57" s="84"/>
      <c r="G57" s="78"/>
      <c r="H57" s="12" t="s">
        <v>156</v>
      </c>
      <c r="I57" s="9"/>
      <c r="J57" s="9"/>
      <c r="K57" s="10">
        <f>SUM(K22:K56)</f>
        <v>0</v>
      </c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</row>
    <row r="58" spans="1:26" x14ac:dyDescent="0.2">
      <c r="A58" s="1"/>
      <c r="B58" s="46" t="s">
        <v>76</v>
      </c>
      <c r="C58" s="116"/>
      <c r="D58" s="116"/>
      <c r="E58" s="3">
        <f>SUMIF(Table4491423418[Category],"Gifts",Table4491423418[Amount])</f>
        <v>0</v>
      </c>
      <c r="F58" s="84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</row>
    <row r="59" spans="1:26" ht="16" thickBot="1" x14ac:dyDescent="0.25">
      <c r="A59" s="78"/>
      <c r="B59" s="46" t="s">
        <v>81</v>
      </c>
      <c r="C59" s="116"/>
      <c r="D59" s="116"/>
      <c r="E59" s="3">
        <f>SUMIF(Table4491423418[Category],"Cosmetics",Table4491423418[Amount])</f>
        <v>0</v>
      </c>
      <c r="F59" s="84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</row>
    <row r="60" spans="1:26" x14ac:dyDescent="0.2">
      <c r="A60" s="78"/>
      <c r="B60" s="81" t="s">
        <v>77</v>
      </c>
      <c r="C60" s="116"/>
      <c r="D60" s="94">
        <f>SUMIF(Table4491423418[Category],"Hobbies",Table4491423418[Amount])</f>
        <v>0</v>
      </c>
      <c r="E60" s="3"/>
      <c r="F60" s="87">
        <v>0</v>
      </c>
      <c r="G60" s="78"/>
      <c r="H60" s="145" t="s">
        <v>103</v>
      </c>
      <c r="I60" s="146"/>
      <c r="J60" s="146"/>
      <c r="K60" s="147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</row>
    <row r="61" spans="1:26" x14ac:dyDescent="0.2">
      <c r="A61" s="78"/>
      <c r="B61" s="81"/>
      <c r="C61" s="116"/>
      <c r="D61" s="74"/>
      <c r="E61" s="3"/>
      <c r="F61" s="84"/>
      <c r="G61" s="78"/>
      <c r="H61" s="190"/>
      <c r="I61" s="149"/>
      <c r="J61" s="149"/>
      <c r="K61" s="150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</row>
    <row r="62" spans="1:26" ht="16" thickBot="1" x14ac:dyDescent="0.25">
      <c r="A62" s="78"/>
      <c r="B62" s="83" t="s">
        <v>4</v>
      </c>
      <c r="C62" s="82"/>
      <c r="D62" s="82"/>
      <c r="E62" s="90">
        <f>SUM(D31,D34,D40,D46,D52,D55,D60)</f>
        <v>0</v>
      </c>
      <c r="F62" s="85">
        <f>SUM(F31,F34,F40,F46,F52,F55,F60)</f>
        <v>0</v>
      </c>
      <c r="G62" s="78"/>
      <c r="H62" s="190"/>
      <c r="I62" s="149"/>
      <c r="J62" s="149"/>
      <c r="K62" s="150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</row>
    <row r="63" spans="1:26" x14ac:dyDescent="0.2">
      <c r="A63" s="78"/>
      <c r="B63" s="100"/>
      <c r="C63" s="101"/>
      <c r="D63" s="101"/>
      <c r="E63" s="102"/>
      <c r="F63" s="84"/>
      <c r="G63" s="78"/>
      <c r="H63" s="144"/>
      <c r="I63" s="149"/>
      <c r="J63" s="149"/>
      <c r="K63" s="150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</row>
    <row r="64" spans="1:26" x14ac:dyDescent="0.2">
      <c r="A64" s="78"/>
      <c r="B64" s="103" t="s">
        <v>85</v>
      </c>
      <c r="C64" s="104" t="e">
        <f>(D65)/(E81+E62)</f>
        <v>#DIV/0!</v>
      </c>
      <c r="D64" s="101"/>
      <c r="E64" s="102"/>
      <c r="F64" s="84"/>
      <c r="G64" s="78"/>
      <c r="H64" s="144"/>
      <c r="I64" s="149"/>
      <c r="J64" s="149"/>
      <c r="K64" s="150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</row>
    <row r="65" spans="1:26" x14ac:dyDescent="0.2">
      <c r="A65" s="78"/>
      <c r="B65" s="105" t="s">
        <v>94</v>
      </c>
      <c r="C65" s="101"/>
      <c r="D65" s="106">
        <f>SUM(E66:E68)</f>
        <v>0</v>
      </c>
      <c r="E65" s="102"/>
      <c r="F65" s="87">
        <f>SUM(F66:F68)</f>
        <v>0</v>
      </c>
      <c r="G65" s="78"/>
      <c r="H65" s="144"/>
      <c r="I65" s="149"/>
      <c r="J65" s="149"/>
      <c r="K65" s="150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</row>
    <row r="66" spans="1:26" x14ac:dyDescent="0.2">
      <c r="A66" s="78"/>
      <c r="B66" s="107" t="s">
        <v>88</v>
      </c>
      <c r="C66" s="101"/>
      <c r="D66" s="101"/>
      <c r="E66" s="102">
        <f>SUMIF(Table4491423418[Category],"Emergency Fund",Table4491423418[Amount])</f>
        <v>0</v>
      </c>
      <c r="F66" s="84"/>
      <c r="G66" s="78"/>
      <c r="H66" s="144"/>
      <c r="I66" s="149"/>
      <c r="J66" s="149"/>
      <c r="K66" s="150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</row>
    <row r="67" spans="1:26" x14ac:dyDescent="0.2">
      <c r="A67" s="78"/>
      <c r="B67" s="107" t="s">
        <v>55</v>
      </c>
      <c r="C67" s="101"/>
      <c r="D67" s="101"/>
      <c r="E67" s="102">
        <f>SUMIF(Table4491423418[Category],"Retirement",Table4491423418[Amount])</f>
        <v>0</v>
      </c>
      <c r="F67" s="84"/>
      <c r="G67" s="78"/>
      <c r="H67" s="144"/>
      <c r="I67" s="149"/>
      <c r="J67" s="149"/>
      <c r="K67" s="150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</row>
    <row r="68" spans="1:26" ht="14.25" customHeight="1" x14ac:dyDescent="0.2">
      <c r="A68" s="78"/>
      <c r="B68" s="107" t="s">
        <v>53</v>
      </c>
      <c r="C68" s="101"/>
      <c r="D68" s="101"/>
      <c r="E68" s="102">
        <f>SUMIF(Table4491423418[Category],"Investment",Table4491423418[Amount])</f>
        <v>0</v>
      </c>
      <c r="F68" s="84"/>
      <c r="G68" s="78"/>
      <c r="H68" s="144"/>
      <c r="I68" s="149"/>
      <c r="J68" s="149"/>
      <c r="K68" s="150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</row>
    <row r="69" spans="1:26" x14ac:dyDescent="0.2">
      <c r="A69" s="78"/>
      <c r="B69" s="100"/>
      <c r="C69" s="101"/>
      <c r="D69" s="101"/>
      <c r="E69" s="102"/>
      <c r="F69" s="84"/>
      <c r="G69" s="78"/>
      <c r="H69" s="144"/>
      <c r="I69" s="149"/>
      <c r="J69" s="149"/>
      <c r="K69" s="150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</row>
    <row r="70" spans="1:26" x14ac:dyDescent="0.2">
      <c r="A70" s="78"/>
      <c r="B70" s="103" t="s">
        <v>86</v>
      </c>
      <c r="C70" s="104" t="e">
        <f>D71/(E81+E62)</f>
        <v>#DIV/0!</v>
      </c>
      <c r="D70" s="101"/>
      <c r="E70" s="102"/>
      <c r="F70" s="84"/>
      <c r="G70" s="78"/>
      <c r="H70" s="144"/>
      <c r="I70" s="149"/>
      <c r="J70" s="149"/>
      <c r="K70" s="150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</row>
    <row r="71" spans="1:26" x14ac:dyDescent="0.2">
      <c r="A71" s="52"/>
      <c r="B71" s="105" t="s">
        <v>95</v>
      </c>
      <c r="C71" s="108"/>
      <c r="D71" s="106">
        <f>SUM(E72:E73)</f>
        <v>0</v>
      </c>
      <c r="E71" s="109"/>
      <c r="F71" s="87">
        <f>SUM(F72:F73)</f>
        <v>0</v>
      </c>
      <c r="G71" s="78"/>
      <c r="H71" s="144"/>
      <c r="I71" s="149"/>
      <c r="J71" s="149"/>
      <c r="K71" s="150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</row>
    <row r="72" spans="1:26" x14ac:dyDescent="0.2">
      <c r="A72" s="78"/>
      <c r="B72" s="110" t="s">
        <v>43</v>
      </c>
      <c r="C72" s="101"/>
      <c r="D72" s="101"/>
      <c r="E72" s="102">
        <f>SUMIF(Table4491423418[Category],"Donations",Table4491423418[Amount])</f>
        <v>0</v>
      </c>
      <c r="F72" s="84"/>
      <c r="G72" s="78"/>
      <c r="H72" s="144"/>
      <c r="I72" s="149"/>
      <c r="J72" s="149"/>
      <c r="K72" s="150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</row>
    <row r="73" spans="1:26" x14ac:dyDescent="0.2">
      <c r="A73" s="78"/>
      <c r="B73" s="110" t="s">
        <v>90</v>
      </c>
      <c r="C73" s="101"/>
      <c r="D73" s="101"/>
      <c r="E73" s="102">
        <f>SUMIF(Table4491423418[Category],"Offering",Table4491423418[Amount])</f>
        <v>0</v>
      </c>
      <c r="F73" s="84"/>
      <c r="G73" s="78"/>
      <c r="H73" s="144"/>
      <c r="I73" s="149"/>
      <c r="J73" s="149"/>
      <c r="K73" s="150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</row>
    <row r="74" spans="1:26" x14ac:dyDescent="0.2">
      <c r="A74" s="78"/>
      <c r="B74" s="110"/>
      <c r="C74" s="101"/>
      <c r="D74" s="101"/>
      <c r="E74" s="102"/>
      <c r="F74" s="84"/>
      <c r="G74" s="78"/>
      <c r="H74" s="144"/>
      <c r="I74" s="149"/>
      <c r="J74" s="149"/>
      <c r="K74" s="150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</row>
    <row r="75" spans="1:26" x14ac:dyDescent="0.2">
      <c r="A75" s="78"/>
      <c r="B75" s="111" t="s">
        <v>89</v>
      </c>
      <c r="C75" s="104" t="e">
        <f>D76/(E81+E62)</f>
        <v>#DIV/0!</v>
      </c>
      <c r="D75" s="101"/>
      <c r="E75" s="102"/>
      <c r="F75" s="84"/>
      <c r="G75" s="78"/>
      <c r="H75" s="144"/>
      <c r="I75" s="149"/>
      <c r="J75" s="149"/>
      <c r="K75" s="150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</row>
    <row r="76" spans="1:26" x14ac:dyDescent="0.2">
      <c r="A76" s="78"/>
      <c r="B76" s="112" t="s">
        <v>104</v>
      </c>
      <c r="C76" s="101"/>
      <c r="D76" s="106">
        <f>SUM(E77:E79)</f>
        <v>0</v>
      </c>
      <c r="E76" s="102"/>
      <c r="F76" s="87">
        <f>SUM(F77:F79)</f>
        <v>0</v>
      </c>
      <c r="G76" s="78"/>
      <c r="H76" s="144"/>
      <c r="I76" s="149"/>
      <c r="J76" s="149"/>
      <c r="K76" s="150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</row>
    <row r="77" spans="1:26" x14ac:dyDescent="0.2">
      <c r="A77" s="78"/>
      <c r="B77" s="110" t="s">
        <v>92</v>
      </c>
      <c r="C77" s="101"/>
      <c r="D77" s="101"/>
      <c r="E77" s="102">
        <f>SUMIF(Table4491423418[Category],"Student Loan",Table4491423418[Amount])</f>
        <v>0</v>
      </c>
      <c r="F77" s="84"/>
      <c r="G77" s="78"/>
      <c r="H77" s="144"/>
      <c r="I77" s="149"/>
      <c r="J77" s="149"/>
      <c r="K77" s="150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</row>
    <row r="78" spans="1:26" x14ac:dyDescent="0.2">
      <c r="A78" s="78"/>
      <c r="B78" s="107" t="s">
        <v>91</v>
      </c>
      <c r="C78" s="101"/>
      <c r="D78" s="101"/>
      <c r="E78" s="102">
        <f>SUMIF(Table4491423418[Category],"Credit Card",Table4491423418[Amount])</f>
        <v>0</v>
      </c>
      <c r="F78" s="84"/>
      <c r="G78" s="78"/>
      <c r="H78" s="144"/>
      <c r="I78" s="149"/>
      <c r="J78" s="149"/>
      <c r="K78" s="150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</row>
    <row r="79" spans="1:26" x14ac:dyDescent="0.2">
      <c r="A79" s="78"/>
      <c r="B79" s="110" t="s">
        <v>93</v>
      </c>
      <c r="C79" s="101"/>
      <c r="D79" s="101"/>
      <c r="E79" s="102">
        <f>SUMIF(Table4491423418[Category],"Car",Table4491423418[Amount])</f>
        <v>0</v>
      </c>
      <c r="F79" s="84"/>
      <c r="G79" s="1"/>
      <c r="H79" s="144"/>
      <c r="I79" s="149"/>
      <c r="J79" s="149"/>
      <c r="K79" s="150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</row>
    <row r="80" spans="1:26" s="54" customFormat="1" x14ac:dyDescent="0.2">
      <c r="A80" s="78"/>
      <c r="B80" s="111"/>
      <c r="C80" s="101"/>
      <c r="D80" s="101"/>
      <c r="E80" s="102"/>
      <c r="F80" s="84"/>
      <c r="G80" s="53"/>
      <c r="H80" s="148"/>
      <c r="I80" s="151"/>
      <c r="J80" s="151"/>
      <c r="K80" s="1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spans="1:26" ht="16" thickBot="1" x14ac:dyDescent="0.25">
      <c r="A81" s="78"/>
      <c r="B81" s="113" t="s">
        <v>35</v>
      </c>
      <c r="C81" s="114"/>
      <c r="D81" s="114"/>
      <c r="E81" s="115">
        <f>SUM(D65,D76,D71)</f>
        <v>0</v>
      </c>
      <c r="F81" s="85">
        <f>SUM(F65,F71,F76)</f>
        <v>0</v>
      </c>
      <c r="G81" s="1"/>
      <c r="H81" s="153"/>
      <c r="I81" s="154"/>
      <c r="J81" s="154"/>
      <c r="K81" s="155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</row>
    <row r="82" spans="1:26" x14ac:dyDescent="0.2">
      <c r="A82" s="78"/>
      <c r="B82" s="78"/>
      <c r="C82" s="78"/>
      <c r="D82" s="78"/>
      <c r="E82" s="78"/>
      <c r="F82" s="78"/>
      <c r="G82" s="1"/>
      <c r="H82" s="1"/>
      <c r="I82" s="1"/>
      <c r="J82" s="1"/>
      <c r="K82" s="1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</row>
    <row r="83" spans="1:26" ht="16" thickBot="1" x14ac:dyDescent="0.25">
      <c r="A83" s="78"/>
      <c r="B83" s="78"/>
      <c r="C83" s="78"/>
      <c r="D83" s="78"/>
      <c r="E83" s="78"/>
      <c r="F83" s="78"/>
      <c r="G83" s="1"/>
      <c r="H83" s="1"/>
      <c r="I83" s="1"/>
      <c r="J83" s="1"/>
      <c r="K83" s="1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</row>
    <row r="84" spans="1:26" x14ac:dyDescent="0.2">
      <c r="A84" s="78"/>
      <c r="B84" s="195" t="str">
        <f>B30</f>
        <v>LIVING EXPENSES</v>
      </c>
      <c r="C84" s="196" t="e">
        <f>C30</f>
        <v>#DIV/0!</v>
      </c>
      <c r="D84" s="78"/>
      <c r="E84" s="78"/>
      <c r="F84" s="78"/>
      <c r="G84" s="78"/>
      <c r="H84" s="1"/>
      <c r="I84" s="1"/>
      <c r="J84" s="1"/>
      <c r="K84" s="1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</row>
    <row r="85" spans="1:26" x14ac:dyDescent="0.2">
      <c r="A85" s="78"/>
      <c r="B85" s="144" t="str">
        <f>B51</f>
        <v>INDULGENCE EXPENSES</v>
      </c>
      <c r="C85" s="197" t="e">
        <f>C51</f>
        <v>#DIV/0!</v>
      </c>
      <c r="D85" s="78"/>
      <c r="E85" s="78"/>
      <c r="F85" s="78"/>
      <c r="G85" s="78"/>
      <c r="H85" s="1"/>
      <c r="I85" s="1"/>
      <c r="J85" s="1"/>
      <c r="K85" s="1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</row>
    <row r="86" spans="1:26" x14ac:dyDescent="0.2">
      <c r="A86" s="78"/>
      <c r="B86" s="144" t="str">
        <f>B64</f>
        <v>SAVINGS</v>
      </c>
      <c r="C86" s="197" t="e">
        <f>C64</f>
        <v>#DIV/0!</v>
      </c>
      <c r="D86" s="78"/>
      <c r="E86" s="78"/>
      <c r="F86" s="78"/>
      <c r="G86" s="78"/>
      <c r="H86" s="1"/>
      <c r="I86" s="1"/>
      <c r="J86" s="1"/>
      <c r="K86" s="1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</row>
    <row r="87" spans="1:26" x14ac:dyDescent="0.2">
      <c r="A87" s="78"/>
      <c r="B87" s="144" t="str">
        <f>B70</f>
        <v>TITHINGS</v>
      </c>
      <c r="C87" s="197" t="e">
        <f>C70</f>
        <v>#DIV/0!</v>
      </c>
      <c r="D87" s="78"/>
      <c r="E87" s="78"/>
      <c r="F87" s="78"/>
      <c r="G87" s="78"/>
      <c r="H87" s="1"/>
      <c r="I87" s="1"/>
      <c r="J87" s="1"/>
      <c r="K87" s="1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</row>
    <row r="88" spans="1:26" ht="16" thickBot="1" x14ac:dyDescent="0.25">
      <c r="A88" s="78"/>
      <c r="B88" s="153" t="str">
        <f>B75</f>
        <v>DEBT REPAYMENT</v>
      </c>
      <c r="C88" s="198" t="e">
        <f>C75</f>
        <v>#DIV/0!</v>
      </c>
      <c r="D88" s="78"/>
      <c r="E88" s="78"/>
      <c r="F88" s="78"/>
      <c r="G88" s="78"/>
      <c r="H88" s="1"/>
      <c r="I88" s="1"/>
      <c r="J88" s="1"/>
      <c r="K88" s="1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</row>
    <row r="89" spans="1:26" x14ac:dyDescent="0.2">
      <c r="A89" s="78"/>
      <c r="B89" s="78"/>
      <c r="C89" s="78"/>
      <c r="D89" s="78"/>
      <c r="E89" s="78"/>
      <c r="F89" s="78"/>
      <c r="G89" s="78"/>
      <c r="H89" s="1"/>
      <c r="I89" s="1"/>
      <c r="J89" s="1"/>
      <c r="K89" s="1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</row>
    <row r="90" spans="1:26" x14ac:dyDescent="0.2">
      <c r="A90" s="78"/>
      <c r="B90" s="78"/>
      <c r="C90" s="78"/>
      <c r="D90" s="78"/>
      <c r="E90" s="78"/>
      <c r="F90" s="78"/>
      <c r="G90" s="78"/>
      <c r="H90" s="1"/>
      <c r="I90" s="1"/>
      <c r="J90" s="1"/>
      <c r="K90" s="1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</row>
    <row r="91" spans="1:26" x14ac:dyDescent="0.2">
      <c r="A91" s="78"/>
      <c r="B91" s="78"/>
      <c r="C91" s="78"/>
      <c r="D91" s="78"/>
      <c r="E91" s="78"/>
      <c r="F91" s="78"/>
      <c r="G91" s="78"/>
      <c r="H91" s="1"/>
      <c r="I91" s="1"/>
      <c r="J91" s="1"/>
      <c r="K91" s="1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</row>
    <row r="92" spans="1:26" x14ac:dyDescent="0.2">
      <c r="A92" s="78"/>
      <c r="B92" s="78"/>
      <c r="C92" s="78"/>
      <c r="D92" s="78"/>
      <c r="E92" s="78"/>
      <c r="F92" s="78"/>
      <c r="G92" s="78"/>
      <c r="H92" s="1"/>
      <c r="I92" s="1"/>
      <c r="J92" s="1"/>
      <c r="K92" s="1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</row>
    <row r="93" spans="1:26" x14ac:dyDescent="0.2">
      <c r="A93" s="78"/>
      <c r="B93" s="78"/>
      <c r="C93" s="78"/>
      <c r="D93" s="78"/>
      <c r="E93" s="78"/>
      <c r="F93" s="78"/>
      <c r="G93" s="78"/>
      <c r="H93" s="1"/>
      <c r="I93" s="1"/>
      <c r="J93" s="1"/>
      <c r="K93" s="1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</row>
    <row r="94" spans="1:26" x14ac:dyDescent="0.2">
      <c r="A94" s="78"/>
      <c r="B94" s="78"/>
      <c r="C94" s="78"/>
      <c r="D94" s="78"/>
      <c r="E94" s="78"/>
      <c r="F94" s="78"/>
      <c r="G94" s="78"/>
      <c r="H94" s="1"/>
      <c r="I94" s="1"/>
      <c r="J94" s="1"/>
      <c r="K94" s="1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</row>
    <row r="95" spans="1:26" x14ac:dyDescent="0.2">
      <c r="A95" s="78"/>
      <c r="B95" s="78"/>
      <c r="C95" s="78"/>
      <c r="D95" s="78"/>
      <c r="E95" s="78"/>
      <c r="F95" s="78"/>
      <c r="G95" s="78"/>
      <c r="H95" s="1"/>
      <c r="I95" s="1"/>
      <c r="J95" s="1"/>
      <c r="K95" s="1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</row>
    <row r="96" spans="1:26" x14ac:dyDescent="0.2">
      <c r="A96" s="78"/>
      <c r="B96" s="78"/>
      <c r="C96" s="78"/>
      <c r="D96" s="78"/>
      <c r="E96" s="78"/>
      <c r="F96" s="78"/>
      <c r="G96" s="1"/>
      <c r="H96" s="1"/>
      <c r="I96" s="1"/>
      <c r="J96" s="1"/>
      <c r="K96" s="1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</row>
    <row r="97" spans="1:26" x14ac:dyDescent="0.2">
      <c r="A97" s="78"/>
      <c r="B97" s="78"/>
      <c r="C97" s="78"/>
      <c r="D97" s="78"/>
      <c r="E97" s="78"/>
      <c r="F97" s="78"/>
      <c r="G97" s="1"/>
      <c r="H97" s="1"/>
      <c r="I97" s="1"/>
      <c r="J97" s="1"/>
      <c r="K97" s="1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</row>
    <row r="98" spans="1:26" x14ac:dyDescent="0.2">
      <c r="A98" s="78"/>
      <c r="B98" s="78"/>
      <c r="C98" s="78"/>
      <c r="D98" s="78"/>
      <c r="E98" s="78"/>
      <c r="F98" s="78"/>
      <c r="G98" s="1"/>
      <c r="H98" s="1"/>
      <c r="I98" s="1"/>
      <c r="J98" s="1"/>
      <c r="K98" s="1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</row>
    <row r="99" spans="1:26" x14ac:dyDescent="0.2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</row>
    <row r="100" spans="1:26" x14ac:dyDescent="0.2">
      <c r="A100" s="78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</row>
    <row r="101" spans="1:26" x14ac:dyDescent="0.2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</row>
    <row r="102" spans="1:26" x14ac:dyDescent="0.2">
      <c r="A102" s="78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</row>
    <row r="103" spans="1:26" x14ac:dyDescent="0.2">
      <c r="A103" s="78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</row>
    <row r="104" spans="1:26" x14ac:dyDescent="0.2">
      <c r="A104" s="78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</row>
    <row r="105" spans="1:26" x14ac:dyDescent="0.2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</row>
    <row r="106" spans="1:26" x14ac:dyDescent="0.2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</row>
    <row r="107" spans="1:26" x14ac:dyDescent="0.2">
      <c r="A107" s="78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</row>
    <row r="108" spans="1:26" x14ac:dyDescent="0.2">
      <c r="A108" s="78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</row>
  </sheetData>
  <mergeCells count="11">
    <mergeCell ref="D9:E9"/>
    <mergeCell ref="B2:I2"/>
    <mergeCell ref="B6:C6"/>
    <mergeCell ref="D6:F6"/>
    <mergeCell ref="D7:E7"/>
    <mergeCell ref="D8:E8"/>
    <mergeCell ref="D10:E10"/>
    <mergeCell ref="D12:E12"/>
    <mergeCell ref="D13:E13"/>
    <mergeCell ref="B15:F15"/>
    <mergeCell ref="H20:K20"/>
  </mergeCells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E4E98-5085-403D-8F1C-266ABC9CDCD0}">
  <dimension ref="A1:Z108"/>
  <sheetViews>
    <sheetView workbookViewId="0"/>
  </sheetViews>
  <sheetFormatPr baseColWidth="10" defaultColWidth="9.1640625" defaultRowHeight="15" x14ac:dyDescent="0.2"/>
  <cols>
    <col min="1" max="1" width="10.6640625" style="75" customWidth="1"/>
    <col min="2" max="2" width="21.1640625" style="75" customWidth="1"/>
    <col min="3" max="6" width="10.6640625" style="75" customWidth="1"/>
    <col min="7" max="7" width="11" style="75" customWidth="1"/>
    <col min="8" max="8" width="12.6640625" style="75" customWidth="1"/>
    <col min="9" max="9" width="31.5" style="75" customWidth="1"/>
    <col min="10" max="10" width="15.6640625" style="75" customWidth="1"/>
    <col min="11" max="11" width="11.6640625" style="75" customWidth="1"/>
    <col min="12" max="13" width="9.1640625" style="75"/>
    <col min="14" max="19" width="10.6640625" style="75" customWidth="1"/>
    <col min="20" max="16384" width="9.1640625" style="75"/>
  </cols>
  <sheetData>
    <row r="1" spans="1:26" ht="16" thickBo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ht="20" thickBot="1" x14ac:dyDescent="0.3">
      <c r="A2" s="78"/>
      <c r="B2" s="214" t="s">
        <v>163</v>
      </c>
      <c r="C2" s="215"/>
      <c r="D2" s="215"/>
      <c r="E2" s="215"/>
      <c r="F2" s="215"/>
      <c r="G2" s="215"/>
      <c r="H2" s="215"/>
      <c r="I2" s="216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26" x14ac:dyDescent="0.2">
      <c r="A3" s="78"/>
      <c r="B3" s="140" t="s">
        <v>59</v>
      </c>
      <c r="C3" s="141" t="s">
        <v>20</v>
      </c>
      <c r="D3" s="141" t="s">
        <v>52</v>
      </c>
      <c r="E3" s="141" t="s">
        <v>12</v>
      </c>
      <c r="F3" s="142" t="s">
        <v>54</v>
      </c>
      <c r="G3" s="142" t="s">
        <v>14</v>
      </c>
      <c r="H3" s="142" t="s">
        <v>60</v>
      </c>
      <c r="I3" s="143" t="s">
        <v>55</v>
      </c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26" ht="16" thickBot="1" x14ac:dyDescent="0.25">
      <c r="A4" s="78"/>
      <c r="B4" s="95">
        <v>0</v>
      </c>
      <c r="C4" s="96">
        <v>0</v>
      </c>
      <c r="D4" s="96">
        <v>0</v>
      </c>
      <c r="E4" s="96">
        <v>0</v>
      </c>
      <c r="F4" s="97">
        <v>0</v>
      </c>
      <c r="G4" s="98">
        <v>0</v>
      </c>
      <c r="H4" s="98">
        <v>0</v>
      </c>
      <c r="I4" s="99">
        <v>0</v>
      </c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26" ht="16" thickBot="1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spans="1:26" ht="19" x14ac:dyDescent="0.25">
      <c r="A6" s="78"/>
      <c r="B6" s="217" t="s">
        <v>164</v>
      </c>
      <c r="C6" s="218"/>
      <c r="D6" s="219" t="s">
        <v>165</v>
      </c>
      <c r="E6" s="220"/>
      <c r="F6" s="221"/>
      <c r="G6" s="78"/>
      <c r="H6" s="1"/>
      <c r="I6" s="1"/>
      <c r="J6" s="1"/>
      <c r="K6" s="1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pans="1:26" x14ac:dyDescent="0.2">
      <c r="A7" s="78"/>
      <c r="B7" s="117" t="s">
        <v>2</v>
      </c>
      <c r="C7" s="118">
        <v>0</v>
      </c>
      <c r="D7" s="222" t="str">
        <f t="shared" ref="D7:D13" si="0">B7</f>
        <v>Income</v>
      </c>
      <c r="E7" s="223"/>
      <c r="F7" s="119">
        <f>F27</f>
        <v>0</v>
      </c>
      <c r="G7" s="78"/>
      <c r="H7" s="1"/>
      <c r="I7" s="1"/>
      <c r="J7" s="1"/>
      <c r="K7" s="1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</row>
    <row r="8" spans="1:26" x14ac:dyDescent="0.2">
      <c r="A8" s="78"/>
      <c r="B8" s="120" t="s">
        <v>12</v>
      </c>
      <c r="C8" s="121">
        <f>SUM(F66:F68)</f>
        <v>0</v>
      </c>
      <c r="D8" s="228" t="str">
        <f t="shared" si="0"/>
        <v>Savings</v>
      </c>
      <c r="E8" s="229"/>
      <c r="F8" s="122">
        <f>D65</f>
        <v>0</v>
      </c>
      <c r="G8" s="78"/>
      <c r="H8" s="1"/>
      <c r="I8" s="1"/>
      <c r="J8" s="1"/>
      <c r="K8" s="1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</row>
    <row r="9" spans="1:26" x14ac:dyDescent="0.2">
      <c r="A9" s="78"/>
      <c r="B9" s="123" t="s">
        <v>120</v>
      </c>
      <c r="C9" s="124">
        <f>SUM(F72:F73)</f>
        <v>0</v>
      </c>
      <c r="D9" s="232" t="str">
        <f t="shared" si="0"/>
        <v>Tithing</v>
      </c>
      <c r="E9" s="232"/>
      <c r="F9" s="125">
        <f>D71</f>
        <v>0</v>
      </c>
      <c r="G9" s="78"/>
      <c r="H9" s="1"/>
      <c r="I9" s="1"/>
      <c r="J9" s="1"/>
      <c r="K9" s="1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</row>
    <row r="10" spans="1:26" x14ac:dyDescent="0.2">
      <c r="A10" s="78"/>
      <c r="B10" s="126" t="s">
        <v>14</v>
      </c>
      <c r="C10" s="127">
        <f>SUM(F77:F79)</f>
        <v>0</v>
      </c>
      <c r="D10" s="230" t="str">
        <f t="shared" si="0"/>
        <v>Debt</v>
      </c>
      <c r="E10" s="231"/>
      <c r="F10" s="128">
        <f>D76</f>
        <v>0</v>
      </c>
      <c r="G10" s="78"/>
      <c r="H10" s="1"/>
      <c r="I10" s="1"/>
      <c r="J10" s="1"/>
      <c r="K10" s="1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</row>
    <row r="11" spans="1:26" x14ac:dyDescent="0.2">
      <c r="A11" s="78"/>
      <c r="B11" s="129" t="s">
        <v>124</v>
      </c>
      <c r="C11" s="130">
        <f>C7-C8-C9-C10</f>
        <v>0</v>
      </c>
      <c r="D11" s="131" t="str">
        <f t="shared" si="0"/>
        <v>Budgeted</v>
      </c>
      <c r="E11" s="132"/>
      <c r="F11" s="133">
        <f>F7-F8-F9-F10</f>
        <v>0</v>
      </c>
      <c r="G11" s="78"/>
      <c r="H11" s="1"/>
      <c r="I11" s="1"/>
      <c r="J11" s="1"/>
      <c r="K11" s="1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</row>
    <row r="12" spans="1:26" x14ac:dyDescent="0.2">
      <c r="A12" s="78"/>
      <c r="B12" s="134" t="s">
        <v>0</v>
      </c>
      <c r="C12" s="135">
        <f>F62</f>
        <v>0</v>
      </c>
      <c r="D12" s="224" t="str">
        <f t="shared" si="0"/>
        <v>Expenses</v>
      </c>
      <c r="E12" s="225"/>
      <c r="F12" s="136">
        <f>E62</f>
        <v>0</v>
      </c>
      <c r="G12" s="78"/>
      <c r="H12" s="1"/>
      <c r="I12" s="1"/>
      <c r="J12" s="1"/>
      <c r="K12" s="1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</row>
    <row r="13" spans="1:26" ht="16" thickBot="1" x14ac:dyDescent="0.25">
      <c r="A13" s="78"/>
      <c r="B13" s="137" t="s">
        <v>123</v>
      </c>
      <c r="C13" s="138">
        <f>C11-C12</f>
        <v>0</v>
      </c>
      <c r="D13" s="226" t="str">
        <f t="shared" si="0"/>
        <v>Remaining</v>
      </c>
      <c r="E13" s="227"/>
      <c r="F13" s="139">
        <f>F11-F12</f>
        <v>0</v>
      </c>
      <c r="G13" s="78"/>
      <c r="H13" s="1"/>
      <c r="I13" s="1"/>
      <c r="J13" s="1"/>
      <c r="K13" s="1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</row>
    <row r="14" spans="1:26" ht="16" thickBot="1" x14ac:dyDescent="0.25">
      <c r="A14" s="78"/>
      <c r="B14" s="78"/>
      <c r="C14" s="78"/>
      <c r="D14" s="78"/>
      <c r="E14" s="78"/>
      <c r="F14" s="78"/>
      <c r="G14" s="78"/>
      <c r="H14" s="1"/>
      <c r="I14" s="1"/>
      <c r="J14" s="1"/>
      <c r="K14" s="1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</row>
    <row r="15" spans="1:26" ht="20" thickBot="1" x14ac:dyDescent="0.3">
      <c r="A15" s="78"/>
      <c r="B15" s="214" t="s">
        <v>166</v>
      </c>
      <c r="C15" s="215"/>
      <c r="D15" s="215"/>
      <c r="E15" s="215"/>
      <c r="F15" s="216"/>
      <c r="G15" s="78"/>
      <c r="H15" s="1"/>
      <c r="I15" s="1"/>
      <c r="J15" s="1"/>
      <c r="K15" s="1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</row>
    <row r="16" spans="1:26" ht="17" thickBot="1" x14ac:dyDescent="0.25">
      <c r="A16" s="78"/>
      <c r="B16" s="63" t="s">
        <v>2</v>
      </c>
      <c r="C16" s="64"/>
      <c r="D16" s="65"/>
      <c r="E16" s="65"/>
      <c r="F16" s="66"/>
      <c r="G16" s="78"/>
      <c r="H16" s="1"/>
      <c r="I16" s="1"/>
      <c r="J16" s="1"/>
      <c r="K16" s="1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</row>
    <row r="17" spans="1:26" x14ac:dyDescent="0.2">
      <c r="A17" s="78"/>
      <c r="B17" s="4"/>
      <c r="C17" s="2"/>
      <c r="D17" s="2"/>
      <c r="E17" s="2"/>
      <c r="F17" s="62"/>
      <c r="G17" s="78"/>
      <c r="H17" s="1"/>
      <c r="I17" s="1"/>
      <c r="J17" s="1"/>
      <c r="K17" s="1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</row>
    <row r="18" spans="1:26" x14ac:dyDescent="0.2">
      <c r="A18" s="78"/>
      <c r="B18" s="4"/>
      <c r="C18" s="2"/>
      <c r="D18" s="2"/>
      <c r="E18" s="2"/>
      <c r="F18" s="55"/>
      <c r="G18" s="78"/>
      <c r="H18" s="1"/>
      <c r="I18" s="1"/>
      <c r="J18" s="1"/>
      <c r="K18" s="1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</row>
    <row r="19" spans="1:26" ht="16" thickBot="1" x14ac:dyDescent="0.25">
      <c r="A19" s="78"/>
      <c r="B19" s="4"/>
      <c r="C19" s="2"/>
      <c r="D19" s="2"/>
      <c r="E19" s="2"/>
      <c r="F19" s="55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</row>
    <row r="20" spans="1:26" ht="20" thickBot="1" x14ac:dyDescent="0.3">
      <c r="A20" s="78"/>
      <c r="B20" s="4"/>
      <c r="C20" s="2"/>
      <c r="D20" s="2"/>
      <c r="E20" s="2"/>
      <c r="F20" s="55"/>
      <c r="G20" s="78"/>
      <c r="H20" s="214" t="s">
        <v>10</v>
      </c>
      <c r="I20" s="215"/>
      <c r="J20" s="215"/>
      <c r="K20" s="216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</row>
    <row r="21" spans="1:26" x14ac:dyDescent="0.2">
      <c r="A21" s="78"/>
      <c r="B21" s="4"/>
      <c r="C21" s="2"/>
      <c r="D21" s="2"/>
      <c r="E21" s="2"/>
      <c r="F21" s="55"/>
      <c r="G21" s="78"/>
      <c r="H21" s="76" t="s">
        <v>5</v>
      </c>
      <c r="I21" s="76" t="s">
        <v>7</v>
      </c>
      <c r="J21" s="76" t="s">
        <v>8</v>
      </c>
      <c r="K21" s="77" t="s">
        <v>6</v>
      </c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</row>
    <row r="22" spans="1:26" x14ac:dyDescent="0.2">
      <c r="A22" s="78"/>
      <c r="B22" s="4"/>
      <c r="C22" s="2"/>
      <c r="D22" s="2"/>
      <c r="E22" s="2"/>
      <c r="F22" s="55"/>
      <c r="G22" s="78"/>
      <c r="H22" s="79"/>
      <c r="I22" s="76"/>
      <c r="J22" s="76"/>
      <c r="K22" s="77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</row>
    <row r="23" spans="1:26" x14ac:dyDescent="0.2">
      <c r="A23" s="78"/>
      <c r="B23" s="4"/>
      <c r="C23" s="2"/>
      <c r="D23" s="2"/>
      <c r="E23" s="2"/>
      <c r="F23" s="55"/>
      <c r="G23" s="78"/>
      <c r="H23" s="79"/>
      <c r="I23" s="76"/>
      <c r="J23" s="76"/>
      <c r="K23" s="77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</row>
    <row r="24" spans="1:26" x14ac:dyDescent="0.2">
      <c r="A24" s="78"/>
      <c r="B24" s="4"/>
      <c r="C24" s="2"/>
      <c r="D24" s="2"/>
      <c r="E24" s="2"/>
      <c r="F24" s="55"/>
      <c r="G24" s="78"/>
      <c r="H24" s="79"/>
      <c r="I24" s="76"/>
      <c r="J24" s="76"/>
      <c r="K24" s="77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</row>
    <row r="25" spans="1:26" x14ac:dyDescent="0.2">
      <c r="A25" s="78"/>
      <c r="B25" s="4"/>
      <c r="C25" s="2"/>
      <c r="D25" s="2"/>
      <c r="E25" s="2"/>
      <c r="F25" s="55"/>
      <c r="G25" s="78"/>
      <c r="H25" s="79"/>
      <c r="I25" s="76"/>
      <c r="J25" s="76"/>
      <c r="K25" s="77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</row>
    <row r="26" spans="1:26" x14ac:dyDescent="0.2">
      <c r="A26" s="78"/>
      <c r="B26" s="5"/>
      <c r="C26" s="2"/>
      <c r="D26" s="2"/>
      <c r="E26" s="2"/>
      <c r="F26" s="56"/>
      <c r="G26" s="78"/>
      <c r="H26" s="79"/>
      <c r="I26" s="76"/>
      <c r="J26" s="76"/>
      <c r="K26" s="77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</row>
    <row r="27" spans="1:26" s="41" customFormat="1" ht="16" thickBot="1" x14ac:dyDescent="0.25">
      <c r="A27" s="78"/>
      <c r="B27" s="6" t="s">
        <v>3</v>
      </c>
      <c r="C27" s="7"/>
      <c r="D27" s="58"/>
      <c r="E27" s="58"/>
      <c r="F27" s="57">
        <f>SUM(F17:F26)</f>
        <v>0</v>
      </c>
      <c r="G27" s="78"/>
      <c r="H27" s="79"/>
      <c r="I27" s="76"/>
      <c r="J27" s="76"/>
      <c r="K27" s="77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</row>
    <row r="28" spans="1:26" ht="16" thickBot="1" x14ac:dyDescent="0.25">
      <c r="A28" s="78"/>
      <c r="B28" s="59"/>
      <c r="C28" s="60"/>
      <c r="D28" s="60"/>
      <c r="E28" s="60"/>
      <c r="F28" s="61"/>
      <c r="G28" s="78"/>
      <c r="H28" s="79"/>
      <c r="I28" s="76"/>
      <c r="J28" s="76"/>
      <c r="K28" s="77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</row>
    <row r="29" spans="1:26" ht="17" thickBot="1" x14ac:dyDescent="0.25">
      <c r="A29" s="78"/>
      <c r="B29" s="51" t="s">
        <v>0</v>
      </c>
      <c r="C29" s="49"/>
      <c r="D29" s="49"/>
      <c r="E29" s="49"/>
      <c r="F29" s="68" t="s">
        <v>1</v>
      </c>
      <c r="G29" s="78"/>
      <c r="H29" s="79"/>
      <c r="I29" s="76"/>
      <c r="J29" s="76"/>
      <c r="K29" s="77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</row>
    <row r="30" spans="1:26" x14ac:dyDescent="0.2">
      <c r="A30" s="78"/>
      <c r="B30" s="67" t="s">
        <v>87</v>
      </c>
      <c r="C30" s="72" t="e">
        <f>(D31+D34+D40+D46)/(E81+E62)</f>
        <v>#DIV/0!</v>
      </c>
      <c r="D30" s="71"/>
      <c r="E30" s="89"/>
      <c r="F30" s="91"/>
      <c r="G30" s="78"/>
      <c r="H30" s="79"/>
      <c r="I30" s="76"/>
      <c r="J30" s="76"/>
      <c r="K30" s="77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</row>
    <row r="31" spans="1:26" x14ac:dyDescent="0.2">
      <c r="A31" s="78"/>
      <c r="B31" s="81" t="s">
        <v>37</v>
      </c>
      <c r="C31" s="3"/>
      <c r="D31" s="92">
        <f>SUM(E32:E33)</f>
        <v>0</v>
      </c>
      <c r="E31" s="3"/>
      <c r="F31" s="87">
        <f>SUM(F32:F33)</f>
        <v>0</v>
      </c>
      <c r="G31" s="78"/>
      <c r="H31" s="79"/>
      <c r="I31" s="76"/>
      <c r="J31" s="76"/>
      <c r="K31" s="77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</row>
    <row r="32" spans="1:26" x14ac:dyDescent="0.2">
      <c r="A32" s="78"/>
      <c r="B32" s="46" t="s">
        <v>62</v>
      </c>
      <c r="C32" s="3"/>
      <c r="D32" s="3"/>
      <c r="E32" s="3">
        <f>SUMIF(Table4491423419[Category],"Rent",Table4491423419[Amount])</f>
        <v>0</v>
      </c>
      <c r="F32" s="84"/>
      <c r="G32" s="78"/>
      <c r="H32" s="79"/>
      <c r="I32" s="76"/>
      <c r="J32" s="76"/>
      <c r="K32" s="77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</row>
    <row r="33" spans="1:26" x14ac:dyDescent="0.2">
      <c r="A33" s="78"/>
      <c r="B33" s="46" t="s">
        <v>38</v>
      </c>
      <c r="C33" s="3"/>
      <c r="D33" s="3"/>
      <c r="E33" s="3">
        <f>SUMIF(Table4491423419[Category],"Utilities",Table4491423419[Amount])</f>
        <v>0</v>
      </c>
      <c r="F33" s="84"/>
      <c r="G33" s="78"/>
      <c r="H33" s="79"/>
      <c r="I33" s="76"/>
      <c r="J33" s="76"/>
      <c r="K33" s="77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</row>
    <row r="34" spans="1:26" x14ac:dyDescent="0.2">
      <c r="A34" s="78"/>
      <c r="B34" s="47" t="s">
        <v>39</v>
      </c>
      <c r="C34" s="3"/>
      <c r="D34" s="92">
        <f>SUM(E35:E39)</f>
        <v>0</v>
      </c>
      <c r="E34" s="3"/>
      <c r="F34" s="87">
        <f>SUM(F35:F39)</f>
        <v>0</v>
      </c>
      <c r="G34" s="78"/>
      <c r="H34" s="79"/>
      <c r="I34" s="76"/>
      <c r="J34" s="76"/>
      <c r="K34" s="77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</row>
    <row r="35" spans="1:26" ht="15.75" customHeight="1" x14ac:dyDescent="0.2">
      <c r="A35" s="78"/>
      <c r="B35" s="46" t="s">
        <v>82</v>
      </c>
      <c r="C35" s="3"/>
      <c r="D35" s="3"/>
      <c r="E35" s="3">
        <f>SUMIF(Table4491423419[Category],"Restaurants",Table4491423419[Amount])</f>
        <v>0</v>
      </c>
      <c r="F35" s="84"/>
      <c r="G35" s="78"/>
      <c r="H35" s="79"/>
      <c r="I35" s="76"/>
      <c r="J35" s="76"/>
      <c r="K35" s="77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</row>
    <row r="36" spans="1:26" ht="14.25" customHeight="1" x14ac:dyDescent="0.2">
      <c r="A36" s="78"/>
      <c r="B36" s="46" t="s">
        <v>63</v>
      </c>
      <c r="C36" s="3"/>
      <c r="D36" s="3"/>
      <c r="E36" s="3">
        <f>SUMIF(Table4491423419[Category],"Fast Food",Table4491423419[Amount])</f>
        <v>0</v>
      </c>
      <c r="F36" s="84"/>
      <c r="G36" s="78"/>
      <c r="H36" s="79"/>
      <c r="I36" s="76"/>
      <c r="J36" s="76"/>
      <c r="K36" s="77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</row>
    <row r="37" spans="1:26" x14ac:dyDescent="0.2">
      <c r="A37" s="78"/>
      <c r="B37" s="46" t="s">
        <v>64</v>
      </c>
      <c r="C37" s="3"/>
      <c r="D37" s="3"/>
      <c r="E37" s="3">
        <f>SUMIF(Table4491423419[Category],"Groceries",Table4491423419[Amount])</f>
        <v>0</v>
      </c>
      <c r="F37" s="84"/>
      <c r="G37" s="78"/>
      <c r="H37" s="79"/>
      <c r="I37" s="76"/>
      <c r="J37" s="76"/>
      <c r="K37" s="77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</row>
    <row r="38" spans="1:26" x14ac:dyDescent="0.2">
      <c r="A38" s="78"/>
      <c r="B38" s="46" t="s">
        <v>65</v>
      </c>
      <c r="C38" s="3"/>
      <c r="D38" s="3"/>
      <c r="E38" s="3">
        <f>SUMIF(Table4491423419[Category],"Coffee",Table4491423419[Amount])</f>
        <v>0</v>
      </c>
      <c r="F38" s="84"/>
      <c r="G38" s="78"/>
      <c r="H38" s="79"/>
      <c r="I38" s="76"/>
      <c r="J38" s="76"/>
      <c r="K38" s="77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</row>
    <row r="39" spans="1:26" x14ac:dyDescent="0.2">
      <c r="A39" s="78"/>
      <c r="B39" s="46" t="s">
        <v>66</v>
      </c>
      <c r="C39" s="3"/>
      <c r="D39" s="3"/>
      <c r="E39" s="3">
        <f>SUMIF(Table4491423419[Category],"Bars",Table4491423419[Amount])</f>
        <v>0</v>
      </c>
      <c r="F39" s="84"/>
      <c r="G39" s="78"/>
      <c r="H39" s="79"/>
      <c r="I39" s="76"/>
      <c r="J39" s="76"/>
      <c r="K39" s="77"/>
      <c r="L39" s="78"/>
      <c r="M39" s="78"/>
      <c r="N39" s="37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spans="1:26" x14ac:dyDescent="0.2">
      <c r="A40" s="78"/>
      <c r="B40" s="48" t="s">
        <v>67</v>
      </c>
      <c r="C40" s="44"/>
      <c r="D40" s="93">
        <f>SUM(E41:E45)</f>
        <v>0</v>
      </c>
      <c r="E40" s="3"/>
      <c r="F40" s="88">
        <f>SUM(F41:F45)</f>
        <v>0</v>
      </c>
      <c r="G40" s="78"/>
      <c r="H40" s="79"/>
      <c r="I40" s="76"/>
      <c r="J40" s="76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spans="1:26" x14ac:dyDescent="0.2">
      <c r="A41" s="1"/>
      <c r="B41" s="46" t="s">
        <v>42</v>
      </c>
      <c r="C41" s="3"/>
      <c r="D41" s="3"/>
      <c r="E41" s="3">
        <f>SUMIF(Table4491423419[Category],"Gas",Table4491423419[Amount])</f>
        <v>0</v>
      </c>
      <c r="F41" s="84"/>
      <c r="G41" s="78"/>
      <c r="H41" s="79"/>
      <c r="I41" s="76"/>
      <c r="K41" s="77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</row>
    <row r="42" spans="1:26" x14ac:dyDescent="0.2">
      <c r="A42" s="1"/>
      <c r="B42" s="46" t="s">
        <v>68</v>
      </c>
      <c r="C42" s="116"/>
      <c r="D42" s="116"/>
      <c r="E42" s="3">
        <f>SUMIF(Table4491423419[Category],"Insurance",Table4491423419[Amount])</f>
        <v>0</v>
      </c>
      <c r="F42" s="84"/>
      <c r="G42" s="78"/>
      <c r="H42" s="79"/>
      <c r="J42" s="76"/>
      <c r="K42" s="77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</row>
    <row r="43" spans="1:26" x14ac:dyDescent="0.2">
      <c r="A43" s="18"/>
      <c r="B43" s="46" t="s">
        <v>83</v>
      </c>
      <c r="C43" s="116"/>
      <c r="D43" s="116"/>
      <c r="E43" s="3">
        <f>SUMIF(Table4491423419[Category],"Maintenance",Table4491423419[Amount])</f>
        <v>0</v>
      </c>
      <c r="F43" s="84"/>
      <c r="G43" s="78"/>
      <c r="H43" s="79"/>
      <c r="I43" s="76"/>
      <c r="J43" s="76"/>
      <c r="K43" s="77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</row>
    <row r="44" spans="1:26" x14ac:dyDescent="0.2">
      <c r="A44" s="43"/>
      <c r="B44" s="46" t="s">
        <v>69</v>
      </c>
      <c r="C44" s="116"/>
      <c r="D44" s="116"/>
      <c r="E44" s="3">
        <f>SUMIF(Table4491423419[Category],"Parking",Table4491423419[Amount])</f>
        <v>0</v>
      </c>
      <c r="F44" s="84"/>
      <c r="G44" s="78"/>
      <c r="H44" s="79"/>
      <c r="I44" s="76"/>
      <c r="J44" s="76"/>
      <c r="K44" s="77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</row>
    <row r="45" spans="1:26" x14ac:dyDescent="0.2">
      <c r="A45" s="78"/>
      <c r="B45" s="46" t="s">
        <v>40</v>
      </c>
      <c r="C45" s="116"/>
      <c r="D45" s="116"/>
      <c r="E45" s="3">
        <f>SUMIF(Table4491423419[Category],"Uber",Table4491423419[Amount])</f>
        <v>0</v>
      </c>
      <c r="F45" s="84"/>
      <c r="G45" s="78"/>
      <c r="H45" s="79"/>
      <c r="I45" s="76"/>
      <c r="J45" s="76"/>
      <c r="K45" s="77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</row>
    <row r="46" spans="1:26" x14ac:dyDescent="0.2">
      <c r="A46" s="1"/>
      <c r="B46" s="81" t="s">
        <v>70</v>
      </c>
      <c r="C46" s="116"/>
      <c r="D46" s="94">
        <f>SUM(E47:E48)</f>
        <v>0</v>
      </c>
      <c r="E46" s="3"/>
      <c r="F46" s="87">
        <f>SUM(F47:F48)</f>
        <v>0</v>
      </c>
      <c r="G46" s="78"/>
      <c r="H46" s="79"/>
      <c r="I46" s="76"/>
      <c r="J46" s="76"/>
      <c r="K46" s="77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</row>
    <row r="47" spans="1:26" x14ac:dyDescent="0.2">
      <c r="A47" s="1"/>
      <c r="B47" s="46" t="s">
        <v>44</v>
      </c>
      <c r="C47" s="116"/>
      <c r="D47" s="116"/>
      <c r="E47" s="3">
        <f>SUMIF(Table4491423419[Category],"Tuition",Table4491423419[Amount])</f>
        <v>0</v>
      </c>
      <c r="F47" s="84"/>
      <c r="G47" s="78"/>
      <c r="H47" s="79"/>
      <c r="I47" s="76"/>
      <c r="J47" s="76"/>
      <c r="K47" s="77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</row>
    <row r="48" spans="1:26" x14ac:dyDescent="0.2">
      <c r="A48" s="1"/>
      <c r="B48" s="46" t="s">
        <v>71</v>
      </c>
      <c r="C48" s="116"/>
      <c r="D48" s="116"/>
      <c r="E48" s="3">
        <f>SUMIF(Table4491423419[Category],"Books",Table4491423419[Amount])</f>
        <v>0</v>
      </c>
      <c r="F48" s="84"/>
      <c r="G48" s="78"/>
      <c r="H48" s="79"/>
      <c r="I48" s="76"/>
      <c r="J48" s="76"/>
      <c r="K48" s="77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</row>
    <row r="49" spans="1:26" x14ac:dyDescent="0.2">
      <c r="A49" s="1"/>
      <c r="B49" s="46"/>
      <c r="C49" s="116"/>
      <c r="D49" s="116"/>
      <c r="E49" s="3"/>
      <c r="F49" s="84"/>
      <c r="G49" s="78"/>
      <c r="H49" s="79"/>
      <c r="I49" s="76"/>
      <c r="J49" s="76"/>
      <c r="K49" s="77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</row>
    <row r="50" spans="1:26" x14ac:dyDescent="0.2">
      <c r="A50" s="1"/>
      <c r="B50" s="46"/>
      <c r="C50" s="116"/>
      <c r="D50" s="116"/>
      <c r="E50" s="3"/>
      <c r="F50" s="84"/>
      <c r="G50" s="78"/>
      <c r="H50" s="79"/>
      <c r="I50" s="76"/>
      <c r="J50" s="76"/>
      <c r="K50" s="77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</row>
    <row r="51" spans="1:26" x14ac:dyDescent="0.2">
      <c r="A51" s="1"/>
      <c r="B51" s="50" t="s">
        <v>121</v>
      </c>
      <c r="C51" s="73" t="e">
        <f>(D52+D55+D60)/(E81+E62)</f>
        <v>#DIV/0!</v>
      </c>
      <c r="D51" s="116"/>
      <c r="E51" s="3"/>
      <c r="F51" s="84"/>
      <c r="G51" s="78"/>
      <c r="H51" s="79"/>
      <c r="I51" s="76"/>
      <c r="J51" s="76"/>
      <c r="K51" s="77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</row>
    <row r="52" spans="1:26" x14ac:dyDescent="0.2">
      <c r="A52" s="1"/>
      <c r="B52" s="81" t="s">
        <v>41</v>
      </c>
      <c r="C52" s="116"/>
      <c r="D52" s="94">
        <f>SUM(E53:E54)</f>
        <v>0</v>
      </c>
      <c r="E52" s="3"/>
      <c r="F52" s="87">
        <f>SUM(F53:F54)</f>
        <v>0</v>
      </c>
      <c r="G52" s="78"/>
      <c r="H52" s="79"/>
      <c r="I52" s="76"/>
      <c r="J52" s="76"/>
      <c r="K52" s="77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</row>
    <row r="53" spans="1:26" x14ac:dyDescent="0.2">
      <c r="A53" s="1"/>
      <c r="B53" s="46" t="s">
        <v>72</v>
      </c>
      <c r="C53" s="116"/>
      <c r="D53" s="116"/>
      <c r="E53" s="3">
        <f>SUMIF(Table4491423419[Category],"Subscription",Table4491423419[Amount])</f>
        <v>0</v>
      </c>
      <c r="F53" s="84"/>
      <c r="G53" s="78"/>
      <c r="H53" s="79"/>
      <c r="I53" s="76"/>
      <c r="J53" s="76"/>
      <c r="K53" s="77"/>
      <c r="L53" s="78"/>
      <c r="M53" s="86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</row>
    <row r="54" spans="1:26" x14ac:dyDescent="0.2">
      <c r="A54" s="1"/>
      <c r="B54" s="46" t="s">
        <v>84</v>
      </c>
      <c r="C54" s="116"/>
      <c r="D54" s="116"/>
      <c r="E54" s="3">
        <f>SUMIF(Table4491423419[Category],"Events",Table4491423419[Amount])</f>
        <v>0</v>
      </c>
      <c r="F54" s="84"/>
      <c r="G54" s="78"/>
      <c r="H54" s="79"/>
      <c r="I54" s="76"/>
      <c r="J54" s="76"/>
      <c r="K54" s="77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</row>
    <row r="55" spans="1:26" x14ac:dyDescent="0.2">
      <c r="A55" s="1"/>
      <c r="B55" s="81" t="s">
        <v>73</v>
      </c>
      <c r="C55" s="116"/>
      <c r="D55" s="94">
        <f>SUM(E56:E59)</f>
        <v>0</v>
      </c>
      <c r="E55" s="3"/>
      <c r="F55" s="87">
        <f>SUM(F56:F59)</f>
        <v>0</v>
      </c>
      <c r="G55" s="78"/>
      <c r="H55" s="79"/>
      <c r="I55" s="76"/>
      <c r="J55" s="76"/>
      <c r="K55" s="77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</row>
    <row r="56" spans="1:26" x14ac:dyDescent="0.2">
      <c r="A56" s="1"/>
      <c r="B56" s="46" t="s">
        <v>74</v>
      </c>
      <c r="C56" s="116"/>
      <c r="D56" s="116"/>
      <c r="E56" s="3">
        <f>SUMIF(Table4491423419[Category],"Clothes",Table4491423419[Amount])</f>
        <v>0</v>
      </c>
      <c r="F56" s="84"/>
      <c r="G56" s="78"/>
      <c r="H56" s="79"/>
      <c r="I56" s="76"/>
      <c r="J56" s="76"/>
      <c r="K56" s="77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</row>
    <row r="57" spans="1:26" ht="17" thickBot="1" x14ac:dyDescent="0.25">
      <c r="A57" s="1"/>
      <c r="B57" s="46" t="s">
        <v>75</v>
      </c>
      <c r="C57" s="116"/>
      <c r="D57" s="116"/>
      <c r="E57" s="3">
        <f>SUMIF(Table4491423419[Category],"Accessories",Table4491423419[Amount])</f>
        <v>0</v>
      </c>
      <c r="F57" s="84"/>
      <c r="G57" s="78"/>
      <c r="H57" s="12" t="s">
        <v>167</v>
      </c>
      <c r="I57" s="9"/>
      <c r="J57" s="9"/>
      <c r="K57" s="10">
        <f>SUM(K22:K56)</f>
        <v>0</v>
      </c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</row>
    <row r="58" spans="1:26" x14ac:dyDescent="0.2">
      <c r="A58" s="1"/>
      <c r="B58" s="46" t="s">
        <v>76</v>
      </c>
      <c r="C58" s="116"/>
      <c r="D58" s="116"/>
      <c r="E58" s="3">
        <f>SUMIF(Table4491423419[Category],"Gifts",Table4491423419[Amount])</f>
        <v>0</v>
      </c>
      <c r="F58" s="84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</row>
    <row r="59" spans="1:26" ht="16" thickBot="1" x14ac:dyDescent="0.25">
      <c r="A59" s="78"/>
      <c r="B59" s="46" t="s">
        <v>81</v>
      </c>
      <c r="C59" s="116"/>
      <c r="D59" s="116"/>
      <c r="E59" s="3">
        <f>SUMIF(Table4491423419[Category],"Cosmetics",Table4491423419[Amount])</f>
        <v>0</v>
      </c>
      <c r="F59" s="84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</row>
    <row r="60" spans="1:26" x14ac:dyDescent="0.2">
      <c r="A60" s="78"/>
      <c r="B60" s="81" t="s">
        <v>77</v>
      </c>
      <c r="C60" s="116"/>
      <c r="D60" s="94">
        <f>SUMIF(Table4491423419[Category],"Hobbies",Table4491423419[Amount])</f>
        <v>0</v>
      </c>
      <c r="E60" s="3"/>
      <c r="F60" s="87">
        <v>0</v>
      </c>
      <c r="G60" s="78"/>
      <c r="H60" s="145" t="s">
        <v>103</v>
      </c>
      <c r="I60" s="146"/>
      <c r="J60" s="146"/>
      <c r="K60" s="147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</row>
    <row r="61" spans="1:26" x14ac:dyDescent="0.2">
      <c r="A61" s="78"/>
      <c r="B61" s="81"/>
      <c r="C61" s="116"/>
      <c r="D61" s="74"/>
      <c r="E61" s="3"/>
      <c r="F61" s="84"/>
      <c r="G61" s="78"/>
      <c r="H61" s="190"/>
      <c r="I61" s="149"/>
      <c r="J61" s="149"/>
      <c r="K61" s="150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</row>
    <row r="62" spans="1:26" ht="16" thickBot="1" x14ac:dyDescent="0.25">
      <c r="A62" s="78"/>
      <c r="B62" s="83" t="s">
        <v>4</v>
      </c>
      <c r="C62" s="82"/>
      <c r="D62" s="82"/>
      <c r="E62" s="90">
        <f>SUM(D31,D34,D40,D46,D52,D55,D60)</f>
        <v>0</v>
      </c>
      <c r="F62" s="85">
        <f>SUM(F31,F34,F40,F46,F52,F55,F60)</f>
        <v>0</v>
      </c>
      <c r="G62" s="78"/>
      <c r="H62" s="190"/>
      <c r="I62" s="149"/>
      <c r="J62" s="149"/>
      <c r="K62" s="150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</row>
    <row r="63" spans="1:26" x14ac:dyDescent="0.2">
      <c r="A63" s="78"/>
      <c r="B63" s="100"/>
      <c r="C63" s="101"/>
      <c r="D63" s="101"/>
      <c r="E63" s="102"/>
      <c r="F63" s="84"/>
      <c r="G63" s="78"/>
      <c r="H63" s="144"/>
      <c r="I63" s="149"/>
      <c r="J63" s="149"/>
      <c r="K63" s="150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</row>
    <row r="64" spans="1:26" x14ac:dyDescent="0.2">
      <c r="A64" s="78"/>
      <c r="B64" s="103" t="s">
        <v>85</v>
      </c>
      <c r="C64" s="104" t="e">
        <f>(D65)/(E81+E62)</f>
        <v>#DIV/0!</v>
      </c>
      <c r="D64" s="101"/>
      <c r="E64" s="102"/>
      <c r="F64" s="84"/>
      <c r="G64" s="78"/>
      <c r="H64" s="144"/>
      <c r="I64" s="149"/>
      <c r="J64" s="149"/>
      <c r="K64" s="150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</row>
    <row r="65" spans="1:26" x14ac:dyDescent="0.2">
      <c r="A65" s="78"/>
      <c r="B65" s="105" t="s">
        <v>94</v>
      </c>
      <c r="C65" s="101"/>
      <c r="D65" s="106">
        <f>SUM(E66:E68)</f>
        <v>0</v>
      </c>
      <c r="E65" s="102"/>
      <c r="F65" s="87">
        <f>SUM(F66:F68)</f>
        <v>0</v>
      </c>
      <c r="G65" s="78"/>
      <c r="H65" s="144"/>
      <c r="I65" s="149"/>
      <c r="J65" s="149"/>
      <c r="K65" s="150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</row>
    <row r="66" spans="1:26" x14ac:dyDescent="0.2">
      <c r="A66" s="78"/>
      <c r="B66" s="107" t="s">
        <v>88</v>
      </c>
      <c r="C66" s="101"/>
      <c r="D66" s="101"/>
      <c r="E66" s="102">
        <f>SUMIF(Table4491423419[Category],"Emergency Fund",Table4491423419[Amount])</f>
        <v>0</v>
      </c>
      <c r="F66" s="84"/>
      <c r="G66" s="78"/>
      <c r="H66" s="144"/>
      <c r="I66" s="149"/>
      <c r="J66" s="149"/>
      <c r="K66" s="150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</row>
    <row r="67" spans="1:26" x14ac:dyDescent="0.2">
      <c r="A67" s="78"/>
      <c r="B67" s="107" t="s">
        <v>55</v>
      </c>
      <c r="C67" s="101"/>
      <c r="D67" s="101"/>
      <c r="E67" s="102">
        <f>SUMIF(Table4491423419[Category],"Retirement",Table4491423419[Amount])</f>
        <v>0</v>
      </c>
      <c r="F67" s="84"/>
      <c r="G67" s="78"/>
      <c r="H67" s="144"/>
      <c r="I67" s="149"/>
      <c r="J67" s="149"/>
      <c r="K67" s="150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</row>
    <row r="68" spans="1:26" ht="14.25" customHeight="1" x14ac:dyDescent="0.2">
      <c r="A68" s="78"/>
      <c r="B68" s="107" t="s">
        <v>53</v>
      </c>
      <c r="C68" s="101"/>
      <c r="D68" s="101"/>
      <c r="E68" s="102">
        <f>SUMIF(Table4491423419[Category],"Investment",Table4491423419[Amount])</f>
        <v>0</v>
      </c>
      <c r="F68" s="84"/>
      <c r="G68" s="78"/>
      <c r="H68" s="144"/>
      <c r="I68" s="149"/>
      <c r="J68" s="149"/>
      <c r="K68" s="150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</row>
    <row r="69" spans="1:26" x14ac:dyDescent="0.2">
      <c r="A69" s="78"/>
      <c r="B69" s="100"/>
      <c r="C69" s="101"/>
      <c r="D69" s="101"/>
      <c r="E69" s="102"/>
      <c r="F69" s="84"/>
      <c r="G69" s="78"/>
      <c r="H69" s="144"/>
      <c r="I69" s="149"/>
      <c r="J69" s="149"/>
      <c r="K69" s="150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</row>
    <row r="70" spans="1:26" x14ac:dyDescent="0.2">
      <c r="A70" s="78"/>
      <c r="B70" s="103" t="s">
        <v>86</v>
      </c>
      <c r="C70" s="104" t="e">
        <f>D71/(E81+E62)</f>
        <v>#DIV/0!</v>
      </c>
      <c r="D70" s="101"/>
      <c r="E70" s="102"/>
      <c r="F70" s="84"/>
      <c r="G70" s="78"/>
      <c r="H70" s="144"/>
      <c r="I70" s="149"/>
      <c r="J70" s="149"/>
      <c r="K70" s="150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</row>
    <row r="71" spans="1:26" x14ac:dyDescent="0.2">
      <c r="A71" s="52"/>
      <c r="B71" s="105" t="s">
        <v>95</v>
      </c>
      <c r="C71" s="108"/>
      <c r="D71" s="106">
        <f>SUM(E72:E73)</f>
        <v>0</v>
      </c>
      <c r="E71" s="109"/>
      <c r="F71" s="87">
        <f>SUM(F72:F73)</f>
        <v>0</v>
      </c>
      <c r="G71" s="78"/>
      <c r="H71" s="144"/>
      <c r="I71" s="149"/>
      <c r="J71" s="149"/>
      <c r="K71" s="150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</row>
    <row r="72" spans="1:26" x14ac:dyDescent="0.2">
      <c r="A72" s="78"/>
      <c r="B72" s="110" t="s">
        <v>43</v>
      </c>
      <c r="C72" s="101"/>
      <c r="D72" s="101"/>
      <c r="E72" s="102">
        <f>SUMIF(Table4491423419[Category],"Donations",Table4491423419[Amount])</f>
        <v>0</v>
      </c>
      <c r="F72" s="84"/>
      <c r="G72" s="78"/>
      <c r="H72" s="144"/>
      <c r="I72" s="149"/>
      <c r="J72" s="149"/>
      <c r="K72" s="150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</row>
    <row r="73" spans="1:26" x14ac:dyDescent="0.2">
      <c r="A73" s="78"/>
      <c r="B73" s="110" t="s">
        <v>90</v>
      </c>
      <c r="C73" s="101"/>
      <c r="D73" s="101"/>
      <c r="E73" s="102">
        <f>SUMIF(Table4491423419[Category],"Offering",Table4491423419[Amount])</f>
        <v>0</v>
      </c>
      <c r="F73" s="84"/>
      <c r="G73" s="78"/>
      <c r="H73" s="144"/>
      <c r="I73" s="149"/>
      <c r="J73" s="149"/>
      <c r="K73" s="150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</row>
    <row r="74" spans="1:26" x14ac:dyDescent="0.2">
      <c r="A74" s="78"/>
      <c r="B74" s="110"/>
      <c r="C74" s="101"/>
      <c r="D74" s="101"/>
      <c r="E74" s="102"/>
      <c r="F74" s="84"/>
      <c r="G74" s="78"/>
      <c r="H74" s="144"/>
      <c r="I74" s="149"/>
      <c r="J74" s="149"/>
      <c r="K74" s="150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</row>
    <row r="75" spans="1:26" x14ac:dyDescent="0.2">
      <c r="A75" s="78"/>
      <c r="B75" s="111" t="s">
        <v>89</v>
      </c>
      <c r="C75" s="104" t="e">
        <f>D76/(E81+E62)</f>
        <v>#DIV/0!</v>
      </c>
      <c r="D75" s="101"/>
      <c r="E75" s="102"/>
      <c r="F75" s="84"/>
      <c r="G75" s="78"/>
      <c r="H75" s="144"/>
      <c r="I75" s="149"/>
      <c r="J75" s="149"/>
      <c r="K75" s="150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</row>
    <row r="76" spans="1:26" x14ac:dyDescent="0.2">
      <c r="A76" s="78"/>
      <c r="B76" s="112" t="s">
        <v>104</v>
      </c>
      <c r="C76" s="101"/>
      <c r="D76" s="106">
        <f>SUM(E77:E79)</f>
        <v>0</v>
      </c>
      <c r="E76" s="102"/>
      <c r="F76" s="87">
        <f>SUM(F77:F79)</f>
        <v>0</v>
      </c>
      <c r="G76" s="78"/>
      <c r="H76" s="144"/>
      <c r="I76" s="149"/>
      <c r="J76" s="149"/>
      <c r="K76" s="150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</row>
    <row r="77" spans="1:26" x14ac:dyDescent="0.2">
      <c r="A77" s="78"/>
      <c r="B77" s="110" t="s">
        <v>92</v>
      </c>
      <c r="C77" s="101"/>
      <c r="D77" s="101"/>
      <c r="E77" s="102">
        <f>SUMIF(Table4491423419[Category],"Student Loan",Table4491423419[Amount])</f>
        <v>0</v>
      </c>
      <c r="F77" s="84"/>
      <c r="G77" s="78"/>
      <c r="H77" s="144"/>
      <c r="I77" s="149"/>
      <c r="J77" s="149"/>
      <c r="K77" s="150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</row>
    <row r="78" spans="1:26" x14ac:dyDescent="0.2">
      <c r="A78" s="78"/>
      <c r="B78" s="107" t="s">
        <v>91</v>
      </c>
      <c r="C78" s="101"/>
      <c r="D78" s="101"/>
      <c r="E78" s="102">
        <f>SUMIF(Table4491423419[Category],"Credit Card",Table4491423419[Amount])</f>
        <v>0</v>
      </c>
      <c r="F78" s="84"/>
      <c r="G78" s="78"/>
      <c r="H78" s="144"/>
      <c r="I78" s="149"/>
      <c r="J78" s="149"/>
      <c r="K78" s="150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</row>
    <row r="79" spans="1:26" x14ac:dyDescent="0.2">
      <c r="A79" s="78"/>
      <c r="B79" s="110" t="s">
        <v>93</v>
      </c>
      <c r="C79" s="101"/>
      <c r="D79" s="101"/>
      <c r="E79" s="102">
        <f>SUMIF(Table4491423419[Category],"Car",Table4491423419[Amount])</f>
        <v>0</v>
      </c>
      <c r="F79" s="84"/>
      <c r="G79" s="1"/>
      <c r="H79" s="144"/>
      <c r="I79" s="149"/>
      <c r="J79" s="149"/>
      <c r="K79" s="150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</row>
    <row r="80" spans="1:26" s="54" customFormat="1" x14ac:dyDescent="0.2">
      <c r="A80" s="78"/>
      <c r="B80" s="111"/>
      <c r="C80" s="101"/>
      <c r="D80" s="101"/>
      <c r="E80" s="102"/>
      <c r="F80" s="84"/>
      <c r="G80" s="53"/>
      <c r="H80" s="148"/>
      <c r="I80" s="151"/>
      <c r="J80" s="151"/>
      <c r="K80" s="1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spans="1:26" ht="16" thickBot="1" x14ac:dyDescent="0.25">
      <c r="A81" s="78"/>
      <c r="B81" s="113" t="s">
        <v>35</v>
      </c>
      <c r="C81" s="114"/>
      <c r="D81" s="114"/>
      <c r="E81" s="115">
        <f>SUM(D65,D76,D71)</f>
        <v>0</v>
      </c>
      <c r="F81" s="85">
        <f>SUM(F65,F71,F76)</f>
        <v>0</v>
      </c>
      <c r="G81" s="1"/>
      <c r="H81" s="153"/>
      <c r="I81" s="154"/>
      <c r="J81" s="154"/>
      <c r="K81" s="155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</row>
    <row r="82" spans="1:26" x14ac:dyDescent="0.2">
      <c r="A82" s="78"/>
      <c r="B82" s="78"/>
      <c r="C82" s="78"/>
      <c r="D82" s="78"/>
      <c r="E82" s="78"/>
      <c r="F82" s="78"/>
      <c r="G82" s="1"/>
      <c r="H82" s="1"/>
      <c r="I82" s="1"/>
      <c r="J82" s="1"/>
      <c r="K82" s="1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</row>
    <row r="83" spans="1:26" ht="16" thickBot="1" x14ac:dyDescent="0.25">
      <c r="A83" s="78"/>
      <c r="B83" s="78"/>
      <c r="C83" s="78"/>
      <c r="D83" s="78"/>
      <c r="E83" s="78"/>
      <c r="F83" s="78"/>
      <c r="G83" s="1"/>
      <c r="H83" s="1"/>
      <c r="I83" s="1"/>
      <c r="J83" s="1"/>
      <c r="K83" s="1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</row>
    <row r="84" spans="1:26" x14ac:dyDescent="0.2">
      <c r="A84" s="78"/>
      <c r="B84" s="195" t="str">
        <f>B30</f>
        <v>LIVING EXPENSES</v>
      </c>
      <c r="C84" s="196" t="e">
        <f>C30</f>
        <v>#DIV/0!</v>
      </c>
      <c r="D84" s="78"/>
      <c r="E84" s="78"/>
      <c r="F84" s="78"/>
      <c r="G84" s="78"/>
      <c r="H84" s="1"/>
      <c r="I84" s="1"/>
      <c r="J84" s="1"/>
      <c r="K84" s="1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</row>
    <row r="85" spans="1:26" x14ac:dyDescent="0.2">
      <c r="A85" s="78"/>
      <c r="B85" s="144" t="str">
        <f>B51</f>
        <v>INDULGENCE EXPENSES</v>
      </c>
      <c r="C85" s="197" t="e">
        <f>C51</f>
        <v>#DIV/0!</v>
      </c>
      <c r="D85" s="78"/>
      <c r="E85" s="78"/>
      <c r="F85" s="78"/>
      <c r="G85" s="78"/>
      <c r="H85" s="1"/>
      <c r="I85" s="1"/>
      <c r="J85" s="1"/>
      <c r="K85" s="1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</row>
    <row r="86" spans="1:26" x14ac:dyDescent="0.2">
      <c r="A86" s="78"/>
      <c r="B86" s="144" t="str">
        <f>B64</f>
        <v>SAVINGS</v>
      </c>
      <c r="C86" s="197" t="e">
        <f>C64</f>
        <v>#DIV/0!</v>
      </c>
      <c r="D86" s="78"/>
      <c r="E86" s="78"/>
      <c r="F86" s="78"/>
      <c r="G86" s="78"/>
      <c r="H86" s="1"/>
      <c r="I86" s="1"/>
      <c r="J86" s="1"/>
      <c r="K86" s="1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</row>
    <row r="87" spans="1:26" x14ac:dyDescent="0.2">
      <c r="A87" s="78"/>
      <c r="B87" s="144" t="str">
        <f>B70</f>
        <v>TITHINGS</v>
      </c>
      <c r="C87" s="197" t="e">
        <f>C70</f>
        <v>#DIV/0!</v>
      </c>
      <c r="D87" s="78"/>
      <c r="E87" s="78"/>
      <c r="F87" s="78"/>
      <c r="G87" s="78"/>
      <c r="H87" s="1"/>
      <c r="I87" s="1"/>
      <c r="J87" s="1"/>
      <c r="K87" s="1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</row>
    <row r="88" spans="1:26" ht="16" thickBot="1" x14ac:dyDescent="0.25">
      <c r="A88" s="78"/>
      <c r="B88" s="153" t="str">
        <f>B75</f>
        <v>DEBT REPAYMENT</v>
      </c>
      <c r="C88" s="198" t="e">
        <f>C75</f>
        <v>#DIV/0!</v>
      </c>
      <c r="D88" s="78"/>
      <c r="E88" s="78"/>
      <c r="F88" s="78"/>
      <c r="G88" s="78"/>
      <c r="H88" s="1"/>
      <c r="I88" s="1"/>
      <c r="J88" s="1"/>
      <c r="K88" s="1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</row>
    <row r="89" spans="1:26" x14ac:dyDescent="0.2">
      <c r="A89" s="78"/>
      <c r="B89" s="78"/>
      <c r="C89" s="78"/>
      <c r="D89" s="78"/>
      <c r="E89" s="78"/>
      <c r="F89" s="78"/>
      <c r="G89" s="78"/>
      <c r="H89" s="1"/>
      <c r="I89" s="1"/>
      <c r="J89" s="1"/>
      <c r="K89" s="1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</row>
    <row r="90" spans="1:26" x14ac:dyDescent="0.2">
      <c r="A90" s="78"/>
      <c r="B90" s="78"/>
      <c r="C90" s="78"/>
      <c r="D90" s="78"/>
      <c r="E90" s="78"/>
      <c r="F90" s="78"/>
      <c r="G90" s="78"/>
      <c r="H90" s="1"/>
      <c r="I90" s="1"/>
      <c r="J90" s="1"/>
      <c r="K90" s="1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</row>
    <row r="91" spans="1:26" x14ac:dyDescent="0.2">
      <c r="A91" s="78"/>
      <c r="B91" s="78"/>
      <c r="C91" s="78"/>
      <c r="D91" s="78"/>
      <c r="E91" s="78"/>
      <c r="F91" s="78"/>
      <c r="G91" s="78"/>
      <c r="H91" s="1"/>
      <c r="I91" s="1"/>
      <c r="J91" s="1"/>
      <c r="K91" s="1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</row>
    <row r="92" spans="1:26" x14ac:dyDescent="0.2">
      <c r="A92" s="78"/>
      <c r="B92" s="78"/>
      <c r="C92" s="78"/>
      <c r="D92" s="78"/>
      <c r="E92" s="78"/>
      <c r="F92" s="78"/>
      <c r="G92" s="78"/>
      <c r="H92" s="1"/>
      <c r="I92" s="1"/>
      <c r="J92" s="1"/>
      <c r="K92" s="1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</row>
    <row r="93" spans="1:26" x14ac:dyDescent="0.2">
      <c r="A93" s="78"/>
      <c r="B93" s="78"/>
      <c r="C93" s="78"/>
      <c r="D93" s="78"/>
      <c r="E93" s="78"/>
      <c r="F93" s="78"/>
      <c r="G93" s="78"/>
      <c r="H93" s="1"/>
      <c r="I93" s="1"/>
      <c r="J93" s="1"/>
      <c r="K93" s="1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</row>
    <row r="94" spans="1:26" x14ac:dyDescent="0.2">
      <c r="A94" s="78"/>
      <c r="B94" s="78"/>
      <c r="C94" s="78"/>
      <c r="D94" s="78"/>
      <c r="E94" s="78"/>
      <c r="F94" s="78"/>
      <c r="G94" s="78"/>
      <c r="H94" s="1"/>
      <c r="I94" s="1"/>
      <c r="J94" s="1"/>
      <c r="K94" s="1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</row>
    <row r="95" spans="1:26" x14ac:dyDescent="0.2">
      <c r="A95" s="78"/>
      <c r="B95" s="78"/>
      <c r="C95" s="78"/>
      <c r="D95" s="78"/>
      <c r="E95" s="78"/>
      <c r="F95" s="78"/>
      <c r="G95" s="78"/>
      <c r="H95" s="1"/>
      <c r="I95" s="1"/>
      <c r="J95" s="1"/>
      <c r="K95" s="1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</row>
    <row r="96" spans="1:26" x14ac:dyDescent="0.2">
      <c r="A96" s="78"/>
      <c r="B96" s="78"/>
      <c r="C96" s="78"/>
      <c r="D96" s="78"/>
      <c r="E96" s="78"/>
      <c r="F96" s="78"/>
      <c r="G96" s="1"/>
      <c r="H96" s="1"/>
      <c r="I96" s="1"/>
      <c r="J96" s="1"/>
      <c r="K96" s="1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</row>
    <row r="97" spans="1:26" x14ac:dyDescent="0.2">
      <c r="A97" s="78"/>
      <c r="B97" s="78"/>
      <c r="C97" s="78"/>
      <c r="D97" s="78"/>
      <c r="E97" s="78"/>
      <c r="F97" s="78"/>
      <c r="G97" s="1"/>
      <c r="H97" s="1"/>
      <c r="I97" s="1"/>
      <c r="J97" s="1"/>
      <c r="K97" s="1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</row>
    <row r="98" spans="1:26" x14ac:dyDescent="0.2">
      <c r="A98" s="78"/>
      <c r="B98" s="78"/>
      <c r="C98" s="78"/>
      <c r="D98" s="78"/>
      <c r="E98" s="78"/>
      <c r="F98" s="78"/>
      <c r="G98" s="1"/>
      <c r="H98" s="1"/>
      <c r="I98" s="1"/>
      <c r="J98" s="1"/>
      <c r="K98" s="1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</row>
    <row r="99" spans="1:26" x14ac:dyDescent="0.2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</row>
    <row r="100" spans="1:26" x14ac:dyDescent="0.2">
      <c r="A100" s="78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</row>
    <row r="101" spans="1:26" x14ac:dyDescent="0.2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</row>
    <row r="102" spans="1:26" x14ac:dyDescent="0.2">
      <c r="A102" s="78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</row>
    <row r="103" spans="1:26" x14ac:dyDescent="0.2">
      <c r="A103" s="78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</row>
    <row r="104" spans="1:26" x14ac:dyDescent="0.2">
      <c r="A104" s="78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</row>
    <row r="105" spans="1:26" x14ac:dyDescent="0.2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</row>
    <row r="106" spans="1:26" x14ac:dyDescent="0.2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</row>
    <row r="107" spans="1:26" x14ac:dyDescent="0.2">
      <c r="A107" s="78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</row>
    <row r="108" spans="1:26" x14ac:dyDescent="0.2">
      <c r="A108" s="78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</row>
  </sheetData>
  <mergeCells count="11">
    <mergeCell ref="D9:E9"/>
    <mergeCell ref="B2:I2"/>
    <mergeCell ref="B6:C6"/>
    <mergeCell ref="D6:F6"/>
    <mergeCell ref="D7:E7"/>
    <mergeCell ref="D8:E8"/>
    <mergeCell ref="D10:E10"/>
    <mergeCell ref="D12:E12"/>
    <mergeCell ref="D13:E13"/>
    <mergeCell ref="B15:F15"/>
    <mergeCell ref="H20:K20"/>
  </mergeCells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Info</vt:lpstr>
      <vt:lpstr>Overview</vt:lpstr>
      <vt:lpstr>Savings Goal</vt:lpstr>
      <vt:lpstr>Sample Month</vt:lpstr>
      <vt:lpstr>Month 1</vt:lpstr>
      <vt:lpstr>Month 2</vt:lpstr>
      <vt:lpstr>Month 3</vt:lpstr>
      <vt:lpstr>Month 4</vt:lpstr>
      <vt:lpstr>Month 5</vt:lpstr>
      <vt:lpstr>Month 6</vt:lpstr>
      <vt:lpstr>Month 7</vt:lpstr>
      <vt:lpstr>Month 8</vt:lpstr>
      <vt:lpstr>Month 9</vt:lpstr>
      <vt:lpstr>Month 10</vt:lpstr>
      <vt:lpstr>Month 11</vt:lpstr>
      <vt:lpstr>Month 12</vt:lpstr>
      <vt:lpstr>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Kammeraad, Zachary</cp:lastModifiedBy>
  <dcterms:created xsi:type="dcterms:W3CDTF">2019-10-10T15:57:40Z</dcterms:created>
  <dcterms:modified xsi:type="dcterms:W3CDTF">2020-02-07T20:37:58Z</dcterms:modified>
</cp:coreProperties>
</file>